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https://rehauprd-my.sharepoint.com/personal/agata_goldyka_rehau_com/Documents/Agata_Projects/DE/RAUPEX Kreislauf/"/>
    </mc:Choice>
  </mc:AlternateContent>
  <xr:revisionPtr revIDLastSave="0" documentId="8_{FDFAA283-9C62-443A-93CF-DCE52D35247F}" xr6:coauthVersionLast="47" xr6:coauthVersionMax="47" xr10:uidLastSave="{00000000-0000-0000-0000-000000000000}"/>
  <workbookProtection workbookAlgorithmName="SHA-512" workbookHashValue="ITupV4xOALaFsdjh3ZcBA9JIryB9cuyTgTBF/P28bXY5vNG1BAAz4g1ccqRlQFWCucjDOTQu81Kc05xzNKuAOA==" workbookSaltValue="7LvUCsaWHC2pqjcTtoU9hQ==" workbookSpinCount="100000" lockStructure="1"/>
  <bookViews>
    <workbookView xWindow="-120" yWindow="-120" windowWidth="38640" windowHeight="21120" activeTab="1" xr2:uid="{00000000-000D-0000-FFFF-FFFF00000000}"/>
  </bookViews>
  <sheets>
    <sheet name="REHAU RAUPEX" sheetId="7" r:id="rId1"/>
    <sheet name="Ringleitung" sheetId="6" r:id="rId2"/>
    <sheet name="Strangleitung" sheetId="1" r:id="rId3"/>
    <sheet name="Anleitung" sheetId="8" r:id="rId4"/>
    <sheet name="Nutzungsbedingungen" sheetId="5" r:id="rId5"/>
    <sheet name="Sprachen" sheetId="4" state="hidden" r:id="rId6"/>
  </sheets>
  <definedNames>
    <definedName name="_xlnm._FilterDatabase" localSheetId="5" hidden="1">Sprachen!$A$7:$A$26</definedName>
    <definedName name="_xlnm.Print_Area" localSheetId="3">Anleitung!$A$1:$E$65</definedName>
    <definedName name="_xlnm.Print_Area" localSheetId="4">Nutzungsbedingungen!$A$1:$BI$62</definedName>
    <definedName name="_xlnm.Print_Area" localSheetId="0">'REHAU RAUPEX'!$A$1:$T$36</definedName>
    <definedName name="_xlnm.Print_Area" localSheetId="1">Ringleitung!$Q$4:$AR$53</definedName>
    <definedName name="_xlnm.Print_Area" localSheetId="2">Strangleitung!$A$4:$AR$53</definedName>
    <definedName name="_xlnm.Extract" localSheetId="5">Sprachen!#REF!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 i="6" l="1"/>
  <c r="T8" i="6"/>
  <c r="C6" i="5" l="1"/>
  <c r="C4" i="5"/>
  <c r="C52" i="5"/>
  <c r="C46" i="5"/>
  <c r="C37" i="5"/>
  <c r="C31" i="5"/>
  <c r="C26" i="5"/>
  <c r="C19" i="5"/>
  <c r="C8" i="5"/>
  <c r="D20" i="8"/>
  <c r="C20" i="8"/>
  <c r="D19" i="8"/>
  <c r="D18" i="8"/>
  <c r="C19" i="8"/>
  <c r="C18" i="8"/>
  <c r="D17" i="8"/>
  <c r="D16" i="8"/>
  <c r="D15" i="8"/>
  <c r="D14" i="8"/>
  <c r="C17" i="8"/>
  <c r="C16" i="8"/>
  <c r="C15" i="8"/>
  <c r="C14" i="8"/>
  <c r="D12" i="8"/>
  <c r="C12" i="8"/>
  <c r="D11" i="8"/>
  <c r="C11" i="8"/>
  <c r="D10" i="8"/>
  <c r="C10" i="8"/>
  <c r="D9" i="8"/>
  <c r="C9" i="8"/>
  <c r="C6" i="8"/>
  <c r="C4" i="8"/>
  <c r="B35" i="7"/>
  <c r="AH52" i="1"/>
  <c r="AH49" i="1"/>
  <c r="AO16" i="1"/>
  <c r="AN16" i="1"/>
  <c r="AM16" i="1"/>
  <c r="AL16" i="1"/>
  <c r="AK16" i="1"/>
  <c r="AJ16" i="1"/>
  <c r="AI16" i="1"/>
  <c r="AH16" i="1"/>
  <c r="AE16" i="1"/>
  <c r="AD16" i="1"/>
  <c r="AC16" i="1"/>
  <c r="AB16" i="1"/>
  <c r="AA16" i="1"/>
  <c r="Z16" i="1"/>
  <c r="Y16" i="1"/>
  <c r="X16" i="1"/>
  <c r="W16" i="1"/>
  <c r="V16" i="1"/>
  <c r="U16" i="1"/>
  <c r="T16" i="1"/>
  <c r="S16" i="1"/>
  <c r="R16" i="1"/>
  <c r="AJ5" i="1"/>
  <c r="W9" i="1"/>
  <c r="R8" i="1"/>
  <c r="R7" i="1"/>
  <c r="R5" i="1"/>
  <c r="AH52" i="6"/>
  <c r="AH49" i="6"/>
  <c r="AO16" i="6"/>
  <c r="AN16" i="6"/>
  <c r="AM16" i="6"/>
  <c r="AL16" i="6"/>
  <c r="AK16" i="6"/>
  <c r="AJ16" i="6"/>
  <c r="AI16" i="6"/>
  <c r="AH16" i="6"/>
  <c r="AE16" i="6"/>
  <c r="AD16" i="6"/>
  <c r="AC16" i="6"/>
  <c r="AB16" i="6"/>
  <c r="AA16" i="6"/>
  <c r="Z16" i="6"/>
  <c r="Y16" i="6"/>
  <c r="X16" i="6"/>
  <c r="W16" i="6"/>
  <c r="V16" i="6"/>
  <c r="U16" i="6"/>
  <c r="T16" i="6"/>
  <c r="S16" i="6"/>
  <c r="R16" i="6"/>
  <c r="AJ5" i="6"/>
  <c r="W9" i="6"/>
  <c r="R8" i="6"/>
  <c r="R7" i="6"/>
  <c r="R5" i="6"/>
  <c r="R6" i="7"/>
  <c r="R10" i="7"/>
  <c r="B2" i="7"/>
  <c r="W7" i="1" l="1"/>
  <c r="W7" i="6" l="1"/>
  <c r="AY20" i="6" l="1"/>
  <c r="BB20" i="6"/>
  <c r="AY21" i="6"/>
  <c r="AZ21" i="6" s="1"/>
  <c r="BB21" i="6"/>
  <c r="AY22" i="6"/>
  <c r="BB22" i="6"/>
  <c r="AY23" i="6"/>
  <c r="AZ23" i="6" s="1"/>
  <c r="BC23" i="6" s="1"/>
  <c r="BB23" i="6"/>
  <c r="AY24" i="6"/>
  <c r="BB24" i="6"/>
  <c r="AY25" i="6"/>
  <c r="AZ25" i="6" s="1"/>
  <c r="BB25" i="6"/>
  <c r="AY26" i="6"/>
  <c r="BB26" i="6"/>
  <c r="AY27" i="6"/>
  <c r="AZ27" i="6" s="1"/>
  <c r="BC27" i="6" s="1"/>
  <c r="BB27" i="6"/>
  <c r="AY28" i="6"/>
  <c r="BB28" i="6"/>
  <c r="AY29" i="6"/>
  <c r="AZ29" i="6" s="1"/>
  <c r="BB29" i="6"/>
  <c r="AY30" i="6"/>
  <c r="BB30" i="6"/>
  <c r="W31" i="6"/>
  <c r="AY31" i="6"/>
  <c r="AZ31" i="6" s="1"/>
  <c r="BB31" i="6"/>
  <c r="AY32" i="6"/>
  <c r="BB32" i="6"/>
  <c r="W33" i="6"/>
  <c r="W32" i="6" s="1"/>
  <c r="AY33" i="6"/>
  <c r="AZ33" i="6" s="1"/>
  <c r="BB33" i="6"/>
  <c r="AY34" i="6"/>
  <c r="BB34" i="6"/>
  <c r="AY35" i="6"/>
  <c r="AZ35" i="6" s="1"/>
  <c r="BC35" i="6" s="1"/>
  <c r="BB35" i="6"/>
  <c r="AY36" i="6"/>
  <c r="BB36" i="6"/>
  <c r="AY37" i="6"/>
  <c r="AZ37" i="6" s="1"/>
  <c r="BB37" i="6"/>
  <c r="AY38" i="6"/>
  <c r="BB38" i="6"/>
  <c r="AY39" i="6"/>
  <c r="BB39" i="6"/>
  <c r="AY40" i="6"/>
  <c r="AZ40" i="6" s="1"/>
  <c r="BB40" i="6"/>
  <c r="AY41" i="6"/>
  <c r="BB41" i="6"/>
  <c r="AY42" i="6"/>
  <c r="AZ42" i="6" s="1"/>
  <c r="BB42" i="6"/>
  <c r="AY43" i="6"/>
  <c r="AZ43" i="6" s="1"/>
  <c r="BB43" i="6"/>
  <c r="AY44" i="6"/>
  <c r="AZ44" i="6" s="1"/>
  <c r="BB44" i="6"/>
  <c r="W45" i="6"/>
  <c r="AY45" i="6"/>
  <c r="AZ45" i="6" s="1"/>
  <c r="BB45" i="6"/>
  <c r="BK50" i="6"/>
  <c r="BM50" i="6"/>
  <c r="BK51" i="6" s="1"/>
  <c r="BK52" i="6" s="1"/>
  <c r="BG53" i="6"/>
  <c r="BK49" i="1"/>
  <c r="BM49" i="1"/>
  <c r="BK50" i="1" s="1"/>
  <c r="BK51" i="1" s="1"/>
  <c r="BK52" i="1" s="1"/>
  <c r="BK53" i="1" s="1"/>
  <c r="BM53" i="1" s="1"/>
  <c r="BC40" i="6" l="1"/>
  <c r="BC31" i="6"/>
  <c r="BC43" i="6"/>
  <c r="BC25" i="6"/>
  <c r="BC42" i="6"/>
  <c r="BC37" i="6"/>
  <c r="AJ33" i="6"/>
  <c r="AI33" i="6" s="1"/>
  <c r="BD33" i="6" s="1"/>
  <c r="BC33" i="6"/>
  <c r="BC29" i="6"/>
  <c r="BC21" i="6"/>
  <c r="AZ32" i="6"/>
  <c r="BC32" i="6" s="1"/>
  <c r="AJ45" i="6"/>
  <c r="AI45" i="6" s="1"/>
  <c r="BD45" i="6" s="1"/>
  <c r="AZ41" i="6"/>
  <c r="BC41" i="6" s="1"/>
  <c r="AZ39" i="6"/>
  <c r="BC39" i="6" s="1"/>
  <c r="AZ38" i="6"/>
  <c r="BC38" i="6" s="1"/>
  <c r="AZ36" i="6"/>
  <c r="BC36" i="6" s="1"/>
  <c r="AZ34" i="6"/>
  <c r="BC34" i="6" s="1"/>
  <c r="BK53" i="6"/>
  <c r="BK54" i="6" s="1"/>
  <c r="BM54" i="6" s="1"/>
  <c r="BG51" i="6" s="1"/>
  <c r="BC45" i="6"/>
  <c r="W44" i="6"/>
  <c r="W30" i="6"/>
  <c r="AJ31" i="6"/>
  <c r="AI31" i="6" s="1"/>
  <c r="BD31" i="6" s="1"/>
  <c r="AZ24" i="6"/>
  <c r="BC24" i="6" s="1"/>
  <c r="BC44" i="6"/>
  <c r="AZ28" i="6"/>
  <c r="BC28" i="6" s="1"/>
  <c r="AZ20" i="6"/>
  <c r="BC20" i="6" s="1"/>
  <c r="AZ30" i="6"/>
  <c r="BC30" i="6" s="1"/>
  <c r="AZ26" i="6"/>
  <c r="BC26" i="6" s="1"/>
  <c r="AZ22" i="6"/>
  <c r="BC22" i="6" s="1"/>
  <c r="W45" i="1"/>
  <c r="W44" i="1" s="1"/>
  <c r="W43" i="1" s="1"/>
  <c r="W42" i="1" s="1"/>
  <c r="W41" i="1" s="1"/>
  <c r="W40" i="1" s="1"/>
  <c r="AJ32" i="6" l="1"/>
  <c r="AI32" i="6" s="1"/>
  <c r="BD32" i="6" s="1"/>
  <c r="BF32" i="6" s="1"/>
  <c r="BG32" i="6" s="1"/>
  <c r="BH32" i="6" s="1"/>
  <c r="BI32" i="6" s="1"/>
  <c r="BJ32" i="6" s="1"/>
  <c r="BK32" i="6" s="1"/>
  <c r="BL32" i="6" s="1"/>
  <c r="BM32" i="6" s="1"/>
  <c r="BN32" i="6" s="1"/>
  <c r="BO32" i="6" s="1"/>
  <c r="AH32" i="6" s="1"/>
  <c r="BF33" i="6"/>
  <c r="BG33" i="6" s="1"/>
  <c r="BH33" i="6" s="1"/>
  <c r="BI33" i="6" s="1"/>
  <c r="BJ33" i="6" s="1"/>
  <c r="BK33" i="6" s="1"/>
  <c r="BL33" i="6" s="1"/>
  <c r="BM33" i="6" s="1"/>
  <c r="BN33" i="6" s="1"/>
  <c r="BO33" i="6" s="1"/>
  <c r="AH33" i="6" s="1"/>
  <c r="AL33" i="6" s="1"/>
  <c r="AJ44" i="6"/>
  <c r="AI44" i="6" s="1"/>
  <c r="BD44" i="6" s="1"/>
  <c r="W43" i="6"/>
  <c r="BF31" i="6"/>
  <c r="BG31" i="6" s="1"/>
  <c r="BH31" i="6" s="1"/>
  <c r="BI31" i="6" s="1"/>
  <c r="BJ31" i="6" s="1"/>
  <c r="BK31" i="6" s="1"/>
  <c r="BL31" i="6" s="1"/>
  <c r="BM31" i="6" s="1"/>
  <c r="BN31" i="6" s="1"/>
  <c r="BO31" i="6" s="1"/>
  <c r="AH31" i="6" s="1"/>
  <c r="AL31" i="6" s="1"/>
  <c r="W29" i="6"/>
  <c r="AJ30" i="6"/>
  <c r="AI30" i="6" s="1"/>
  <c r="BD30" i="6" s="1"/>
  <c r="BF30" i="6" s="1"/>
  <c r="BF45" i="6"/>
  <c r="BG45" i="6" s="1"/>
  <c r="BH45" i="6" s="1"/>
  <c r="BI45" i="6" s="1"/>
  <c r="BJ45" i="6" s="1"/>
  <c r="BK45" i="6" s="1"/>
  <c r="BL45" i="6" s="1"/>
  <c r="BM45" i="6" s="1"/>
  <c r="BN45" i="6" s="1"/>
  <c r="BO45" i="6" s="1"/>
  <c r="AH45" i="6" s="1"/>
  <c r="AL45" i="6" s="1"/>
  <c r="AK31" i="6"/>
  <c r="AK33" i="6"/>
  <c r="AK45" i="6"/>
  <c r="W39" i="1"/>
  <c r="W38" i="1" s="1"/>
  <c r="W37" i="1" s="1"/>
  <c r="W36" i="1" s="1"/>
  <c r="W35" i="1" s="1"/>
  <c r="W34" i="1" s="1"/>
  <c r="W33" i="1" s="1"/>
  <c r="AK30" i="6" l="1"/>
  <c r="W28" i="6"/>
  <c r="AJ29" i="6"/>
  <c r="W42" i="6"/>
  <c r="AJ43" i="6"/>
  <c r="AM45" i="6"/>
  <c r="AN45" i="6"/>
  <c r="AM33" i="6"/>
  <c r="AN33" i="6"/>
  <c r="BF44" i="6"/>
  <c r="BG44" i="6" s="1"/>
  <c r="BH44" i="6" s="1"/>
  <c r="BI44" i="6" s="1"/>
  <c r="BJ44" i="6" s="1"/>
  <c r="BK44" i="6" s="1"/>
  <c r="BL44" i="6" s="1"/>
  <c r="BM44" i="6" s="1"/>
  <c r="BN44" i="6" s="1"/>
  <c r="BO44" i="6" s="1"/>
  <c r="AH44" i="6" s="1"/>
  <c r="AL44" i="6" s="1"/>
  <c r="AK44" i="6"/>
  <c r="AM31" i="6"/>
  <c r="AN31" i="6"/>
  <c r="BG30" i="6"/>
  <c r="BH30" i="6" s="1"/>
  <c r="BI30" i="6" s="1"/>
  <c r="BJ30" i="6" s="1"/>
  <c r="BK30" i="6" s="1"/>
  <c r="BL30" i="6" s="1"/>
  <c r="BM30" i="6" s="1"/>
  <c r="BN30" i="6" s="1"/>
  <c r="BO30" i="6" s="1"/>
  <c r="AH30" i="6" s="1"/>
  <c r="AL30" i="6" s="1"/>
  <c r="W32" i="1"/>
  <c r="W31" i="1" s="1"/>
  <c r="W30" i="1" s="1"/>
  <c r="W29" i="1" s="1"/>
  <c r="W28" i="1" s="1"/>
  <c r="W27" i="1" s="1"/>
  <c r="W26" i="1" s="1"/>
  <c r="W25" i="1" s="1"/>
  <c r="W24" i="1" s="1"/>
  <c r="W23" i="1" s="1"/>
  <c r="W22" i="1" s="1"/>
  <c r="W21" i="1" s="1"/>
  <c r="W20" i="1" s="1"/>
  <c r="AY21" i="1"/>
  <c r="AY22" i="1"/>
  <c r="AZ22" i="1" s="1"/>
  <c r="AY23" i="1"/>
  <c r="AZ23" i="1" s="1"/>
  <c r="AY24" i="1"/>
  <c r="AZ24" i="1" s="1"/>
  <c r="AY25" i="1"/>
  <c r="AZ25" i="1" s="1"/>
  <c r="AY26" i="1"/>
  <c r="AZ26" i="1" s="1"/>
  <c r="AY27" i="1"/>
  <c r="AZ27" i="1" s="1"/>
  <c r="AY28" i="1"/>
  <c r="AZ28" i="1" s="1"/>
  <c r="AY29" i="1"/>
  <c r="AY30" i="1"/>
  <c r="AZ30" i="1" s="1"/>
  <c r="AY31" i="1"/>
  <c r="AZ31" i="1" s="1"/>
  <c r="AY32" i="1"/>
  <c r="AY33" i="1"/>
  <c r="AY34" i="1"/>
  <c r="AY35" i="1"/>
  <c r="AZ35" i="1" s="1"/>
  <c r="AY36" i="1"/>
  <c r="AZ36" i="1" s="1"/>
  <c r="AY37" i="1"/>
  <c r="AZ37" i="1" s="1"/>
  <c r="AY38" i="1"/>
  <c r="AZ38" i="1" s="1"/>
  <c r="AY39" i="1"/>
  <c r="AZ39" i="1" s="1"/>
  <c r="AY40" i="1"/>
  <c r="AZ40" i="1" s="1"/>
  <c r="AY41" i="1"/>
  <c r="AZ41" i="1" s="1"/>
  <c r="AY42" i="1"/>
  <c r="AZ42" i="1" s="1"/>
  <c r="AY43" i="1"/>
  <c r="AZ43" i="1" s="1"/>
  <c r="AY44" i="1"/>
  <c r="AZ44" i="1" s="1"/>
  <c r="AY45" i="1"/>
  <c r="AY20" i="1"/>
  <c r="AZ20" i="1" s="1"/>
  <c r="AN30" i="6" l="1"/>
  <c r="AM30" i="6"/>
  <c r="AM44" i="6"/>
  <c r="AN44" i="6"/>
  <c r="AJ42" i="6"/>
  <c r="W41" i="6"/>
  <c r="AI29" i="6"/>
  <c r="BD29" i="6" s="1"/>
  <c r="AK29" i="6"/>
  <c r="W27" i="6"/>
  <c r="AJ28" i="6"/>
  <c r="AI43" i="6"/>
  <c r="BD43" i="6" s="1"/>
  <c r="AK43" i="6"/>
  <c r="AZ32" i="1"/>
  <c r="AJ32" i="1" s="1"/>
  <c r="AZ34" i="1"/>
  <c r="AJ34" i="1" s="1"/>
  <c r="AZ33" i="1"/>
  <c r="AJ33" i="1" s="1"/>
  <c r="AZ29" i="1"/>
  <c r="AZ45" i="1"/>
  <c r="BC45" i="1" s="1"/>
  <c r="AZ21" i="1"/>
  <c r="BC28" i="1"/>
  <c r="BC41" i="1"/>
  <c r="BC39" i="1"/>
  <c r="BC22" i="1"/>
  <c r="BC42" i="1"/>
  <c r="BC38" i="1"/>
  <c r="BC44" i="1"/>
  <c r="BC36" i="1"/>
  <c r="BC43" i="1"/>
  <c r="BC35" i="1"/>
  <c r="BC27" i="1"/>
  <c r="BC26" i="1"/>
  <c r="BC25" i="1"/>
  <c r="BC37" i="1"/>
  <c r="BC24" i="1"/>
  <c r="BC23" i="1"/>
  <c r="BC20" i="1"/>
  <c r="W26" i="6" l="1"/>
  <c r="AJ27" i="6"/>
  <c r="AI42" i="6"/>
  <c r="BD42" i="6" s="1"/>
  <c r="AK42" i="6"/>
  <c r="BF43" i="6"/>
  <c r="BG43" i="6" s="1"/>
  <c r="BH43" i="6" s="1"/>
  <c r="BI43" i="6" s="1"/>
  <c r="BJ43" i="6" s="1"/>
  <c r="BK43" i="6" s="1"/>
  <c r="BL43" i="6" s="1"/>
  <c r="BM43" i="6" s="1"/>
  <c r="BN43" i="6" s="1"/>
  <c r="BO43" i="6" s="1"/>
  <c r="AH43" i="6" s="1"/>
  <c r="AL43" i="6" s="1"/>
  <c r="BF29" i="6"/>
  <c r="BG29" i="6" s="1"/>
  <c r="BH29" i="6" s="1"/>
  <c r="BI29" i="6" s="1"/>
  <c r="BJ29" i="6" s="1"/>
  <c r="BK29" i="6" s="1"/>
  <c r="BL29" i="6" s="1"/>
  <c r="BM29" i="6" s="1"/>
  <c r="BN29" i="6" s="1"/>
  <c r="BO29" i="6" s="1"/>
  <c r="AH29" i="6" s="1"/>
  <c r="AL29" i="6" s="1"/>
  <c r="AI28" i="6"/>
  <c r="BD28" i="6" s="1"/>
  <c r="AK28" i="6"/>
  <c r="W40" i="6"/>
  <c r="AJ41" i="6"/>
  <c r="BC34" i="1"/>
  <c r="BC33" i="1"/>
  <c r="BC29" i="1"/>
  <c r="BC31" i="1"/>
  <c r="BC40" i="1"/>
  <c r="BC30" i="1"/>
  <c r="BC32" i="1"/>
  <c r="BC21" i="1"/>
  <c r="AM43" i="6" l="1"/>
  <c r="AN43" i="6"/>
  <c r="AM29" i="6"/>
  <c r="AN29" i="6"/>
  <c r="AI41" i="6"/>
  <c r="BD41" i="6" s="1"/>
  <c r="AK41" i="6"/>
  <c r="AJ40" i="6"/>
  <c r="W39" i="6"/>
  <c r="BF42" i="6"/>
  <c r="BG42" i="6" s="1"/>
  <c r="BH42" i="6" s="1"/>
  <c r="BI42" i="6" s="1"/>
  <c r="BJ42" i="6" s="1"/>
  <c r="BK42" i="6" s="1"/>
  <c r="BL42" i="6" s="1"/>
  <c r="BM42" i="6" s="1"/>
  <c r="BN42" i="6" s="1"/>
  <c r="BO42" i="6" s="1"/>
  <c r="AH42" i="6" s="1"/>
  <c r="AL42" i="6" s="1"/>
  <c r="AI27" i="6"/>
  <c r="BD27" i="6" s="1"/>
  <c r="AK27" i="6"/>
  <c r="BF28" i="6"/>
  <c r="BG28" i="6" s="1"/>
  <c r="BH28" i="6" s="1"/>
  <c r="BI28" i="6" s="1"/>
  <c r="BJ28" i="6" s="1"/>
  <c r="BK28" i="6" s="1"/>
  <c r="BL28" i="6" s="1"/>
  <c r="BM28" i="6" s="1"/>
  <c r="BN28" i="6" s="1"/>
  <c r="BO28" i="6" s="1"/>
  <c r="AH28" i="6" s="1"/>
  <c r="AL28" i="6" s="1"/>
  <c r="W25" i="6"/>
  <c r="AJ26" i="6"/>
  <c r="BB38" i="1"/>
  <c r="BB39" i="1"/>
  <c r="BB40" i="1"/>
  <c r="BB41" i="1"/>
  <c r="BB42" i="1"/>
  <c r="AJ38" i="1"/>
  <c r="AJ39" i="1"/>
  <c r="AJ40" i="1"/>
  <c r="AJ41" i="1"/>
  <c r="AJ42" i="1"/>
  <c r="AM42" i="6" l="1"/>
  <c r="AN42" i="6"/>
  <c r="AM28" i="6"/>
  <c r="AN28" i="6"/>
  <c r="AI26" i="6"/>
  <c r="BD26" i="6" s="1"/>
  <c r="AK26" i="6"/>
  <c r="W24" i="6"/>
  <c r="AJ25" i="6"/>
  <c r="BF27" i="6"/>
  <c r="BG27" i="6" s="1"/>
  <c r="BH27" i="6" s="1"/>
  <c r="BI27" i="6" s="1"/>
  <c r="BJ27" i="6" s="1"/>
  <c r="BK27" i="6" s="1"/>
  <c r="BL27" i="6" s="1"/>
  <c r="BM27" i="6" s="1"/>
  <c r="BN27" i="6" s="1"/>
  <c r="BO27" i="6" s="1"/>
  <c r="AH27" i="6" s="1"/>
  <c r="AL27" i="6" s="1"/>
  <c r="W38" i="6"/>
  <c r="AJ39" i="6"/>
  <c r="AI40" i="6"/>
  <c r="BD40" i="6" s="1"/>
  <c r="AK40" i="6"/>
  <c r="BF41" i="6"/>
  <c r="BG41" i="6" s="1"/>
  <c r="BH41" i="6" s="1"/>
  <c r="BI41" i="6" s="1"/>
  <c r="BJ41" i="6" s="1"/>
  <c r="BK41" i="6" s="1"/>
  <c r="BL41" i="6" s="1"/>
  <c r="BM41" i="6" s="1"/>
  <c r="BN41" i="6" s="1"/>
  <c r="BO41" i="6" s="1"/>
  <c r="AH41" i="6" s="1"/>
  <c r="AL41" i="6" s="1"/>
  <c r="AJ20" i="1"/>
  <c r="BB44" i="1"/>
  <c r="BB20" i="1"/>
  <c r="BB21" i="1"/>
  <c r="BB22" i="1"/>
  <c r="BB23" i="1"/>
  <c r="BB24" i="1"/>
  <c r="BB25" i="1"/>
  <c r="AM27" i="6" l="1"/>
  <c r="AN27" i="6"/>
  <c r="AM41" i="6"/>
  <c r="AN41" i="6"/>
  <c r="AI39" i="6"/>
  <c r="BD39" i="6" s="1"/>
  <c r="AK39" i="6"/>
  <c r="AI25" i="6"/>
  <c r="BD25" i="6" s="1"/>
  <c r="AK25" i="6"/>
  <c r="BF40" i="6"/>
  <c r="BG40" i="6" s="1"/>
  <c r="BH40" i="6" s="1"/>
  <c r="BI40" i="6" s="1"/>
  <c r="BJ40" i="6" s="1"/>
  <c r="BK40" i="6" s="1"/>
  <c r="BL40" i="6" s="1"/>
  <c r="BM40" i="6" s="1"/>
  <c r="BN40" i="6" s="1"/>
  <c r="BO40" i="6" s="1"/>
  <c r="AH40" i="6" s="1"/>
  <c r="AL40" i="6" s="1"/>
  <c r="AJ38" i="6"/>
  <c r="W37" i="6"/>
  <c r="AJ24" i="6"/>
  <c r="W23" i="6"/>
  <c r="BF26" i="6"/>
  <c r="BG26" i="6" s="1"/>
  <c r="BH26" i="6" s="1"/>
  <c r="BI26" i="6" s="1"/>
  <c r="BJ26" i="6" s="1"/>
  <c r="BK26" i="6" s="1"/>
  <c r="BL26" i="6" s="1"/>
  <c r="BM26" i="6" s="1"/>
  <c r="BN26" i="6" s="1"/>
  <c r="BO26" i="6" s="1"/>
  <c r="AH26" i="6" s="1"/>
  <c r="AL26" i="6" s="1"/>
  <c r="AJ21" i="1"/>
  <c r="AM26" i="6" l="1"/>
  <c r="AN26" i="6"/>
  <c r="AM40" i="6"/>
  <c r="AN40" i="6"/>
  <c r="AJ37" i="6"/>
  <c r="W36" i="6"/>
  <c r="AI38" i="6"/>
  <c r="BD38" i="6" s="1"/>
  <c r="AK38" i="6"/>
  <c r="BF39" i="6"/>
  <c r="BG39" i="6" s="1"/>
  <c r="BH39" i="6" s="1"/>
  <c r="BI39" i="6" s="1"/>
  <c r="BJ39" i="6" s="1"/>
  <c r="BK39" i="6" s="1"/>
  <c r="BL39" i="6" s="1"/>
  <c r="BM39" i="6" s="1"/>
  <c r="BN39" i="6" s="1"/>
  <c r="BO39" i="6" s="1"/>
  <c r="AH39" i="6" s="1"/>
  <c r="AL39" i="6" s="1"/>
  <c r="W22" i="6"/>
  <c r="AJ23" i="6"/>
  <c r="AI24" i="6"/>
  <c r="BD24" i="6" s="1"/>
  <c r="AK24" i="6"/>
  <c r="BF25" i="6"/>
  <c r="BG25" i="6" s="1"/>
  <c r="BH25" i="6" s="1"/>
  <c r="BI25" i="6" s="1"/>
  <c r="BJ25" i="6" s="1"/>
  <c r="BK25" i="6" s="1"/>
  <c r="BL25" i="6" s="1"/>
  <c r="BM25" i="6" s="1"/>
  <c r="BN25" i="6" s="1"/>
  <c r="BO25" i="6" s="1"/>
  <c r="AH25" i="6" s="1"/>
  <c r="AL25" i="6" s="1"/>
  <c r="AJ22" i="1"/>
  <c r="AJ45" i="1"/>
  <c r="AJ36" i="6" l="1"/>
  <c r="AK36" i="6" s="1"/>
  <c r="W35" i="6"/>
  <c r="AM25" i="6"/>
  <c r="AN25" i="6"/>
  <c r="AM39" i="6"/>
  <c r="AN39" i="6"/>
  <c r="AI23" i="6"/>
  <c r="BD23" i="6" s="1"/>
  <c r="AK23" i="6"/>
  <c r="BF24" i="6"/>
  <c r="BG24" i="6" s="1"/>
  <c r="BH24" i="6" s="1"/>
  <c r="BI24" i="6" s="1"/>
  <c r="BJ24" i="6" s="1"/>
  <c r="BK24" i="6" s="1"/>
  <c r="BL24" i="6" s="1"/>
  <c r="BM24" i="6" s="1"/>
  <c r="BN24" i="6" s="1"/>
  <c r="BO24" i="6" s="1"/>
  <c r="AH24" i="6" s="1"/>
  <c r="AL24" i="6" s="1"/>
  <c r="W21" i="6"/>
  <c r="AJ22" i="6"/>
  <c r="BF38" i="6"/>
  <c r="BG38" i="6" s="1"/>
  <c r="BH38" i="6" s="1"/>
  <c r="BI38" i="6" s="1"/>
  <c r="BJ38" i="6" s="1"/>
  <c r="BK38" i="6" s="1"/>
  <c r="BL38" i="6" s="1"/>
  <c r="BM38" i="6" s="1"/>
  <c r="BN38" i="6" s="1"/>
  <c r="BO38" i="6" s="1"/>
  <c r="AH38" i="6" s="1"/>
  <c r="AL38" i="6" s="1"/>
  <c r="AI37" i="6"/>
  <c r="BD37" i="6" s="1"/>
  <c r="AK37" i="6"/>
  <c r="AJ23" i="1"/>
  <c r="BB45" i="1"/>
  <c r="BB43" i="1"/>
  <c r="BB37" i="1"/>
  <c r="BB36" i="1"/>
  <c r="BB35" i="1"/>
  <c r="BB34" i="1"/>
  <c r="BB33" i="1"/>
  <c r="BB32" i="1"/>
  <c r="BB31" i="1"/>
  <c r="BB30" i="1"/>
  <c r="BB29" i="1"/>
  <c r="BB28" i="1"/>
  <c r="BB27" i="1"/>
  <c r="BB26" i="1"/>
  <c r="AI36" i="6" l="1"/>
  <c r="BD36" i="6" s="1"/>
  <c r="BF36" i="6" s="1"/>
  <c r="BG36" i="6" s="1"/>
  <c r="BH36" i="6" s="1"/>
  <c r="BI36" i="6" s="1"/>
  <c r="BJ36" i="6" s="1"/>
  <c r="BK36" i="6" s="1"/>
  <c r="BL36" i="6" s="1"/>
  <c r="BM36" i="6" s="1"/>
  <c r="BN36" i="6" s="1"/>
  <c r="BO36" i="6" s="1"/>
  <c r="AH36" i="6" s="1"/>
  <c r="AL36" i="6" s="1"/>
  <c r="W34" i="6"/>
  <c r="AJ34" i="6" s="1"/>
  <c r="AJ35" i="6"/>
  <c r="AM38" i="6"/>
  <c r="AN38" i="6"/>
  <c r="AM24" i="6"/>
  <c r="AN24" i="6"/>
  <c r="AI22" i="6"/>
  <c r="BD22" i="6" s="1"/>
  <c r="AK22" i="6"/>
  <c r="BF37" i="6"/>
  <c r="BG37" i="6" s="1"/>
  <c r="BH37" i="6" s="1"/>
  <c r="BI37" i="6" s="1"/>
  <c r="BJ37" i="6" s="1"/>
  <c r="BK37" i="6" s="1"/>
  <c r="BL37" i="6" s="1"/>
  <c r="BM37" i="6" s="1"/>
  <c r="BN37" i="6" s="1"/>
  <c r="BO37" i="6" s="1"/>
  <c r="AH37" i="6" s="1"/>
  <c r="AL37" i="6" s="1"/>
  <c r="W20" i="6"/>
  <c r="AJ20" i="6" s="1"/>
  <c r="AJ21" i="6"/>
  <c r="BF23" i="6"/>
  <c r="BG23" i="6" s="1"/>
  <c r="BH23" i="6" s="1"/>
  <c r="BI23" i="6" s="1"/>
  <c r="BJ23" i="6" s="1"/>
  <c r="BK23" i="6" s="1"/>
  <c r="BL23" i="6" s="1"/>
  <c r="BM23" i="6" s="1"/>
  <c r="BN23" i="6" s="1"/>
  <c r="BO23" i="6" s="1"/>
  <c r="AH23" i="6" s="1"/>
  <c r="AL23" i="6" s="1"/>
  <c r="AJ24" i="1"/>
  <c r="AI35" i="6" l="1"/>
  <c r="BD35" i="6" s="1"/>
  <c r="AK35" i="6"/>
  <c r="AI34" i="6"/>
  <c r="BD34" i="6" s="1"/>
  <c r="BF34" i="6" s="1"/>
  <c r="BG34" i="6" s="1"/>
  <c r="BH34" i="6" s="1"/>
  <c r="BI34" i="6" s="1"/>
  <c r="BJ34" i="6" s="1"/>
  <c r="BK34" i="6" s="1"/>
  <c r="BL34" i="6" s="1"/>
  <c r="BM34" i="6" s="1"/>
  <c r="BN34" i="6" s="1"/>
  <c r="BO34" i="6" s="1"/>
  <c r="AH34" i="6" s="1"/>
  <c r="AL34" i="6" s="1"/>
  <c r="AK34" i="6"/>
  <c r="AM37" i="6"/>
  <c r="AN37" i="6"/>
  <c r="AM23" i="6"/>
  <c r="AN23" i="6"/>
  <c r="AM36" i="6"/>
  <c r="AN36" i="6"/>
  <c r="BF22" i="6"/>
  <c r="BG22" i="6" s="1"/>
  <c r="BH22" i="6" s="1"/>
  <c r="BI22" i="6" s="1"/>
  <c r="BJ22" i="6" s="1"/>
  <c r="BK22" i="6" s="1"/>
  <c r="BL22" i="6" s="1"/>
  <c r="BM22" i="6" s="1"/>
  <c r="BN22" i="6" s="1"/>
  <c r="BO22" i="6" s="1"/>
  <c r="AH22" i="6" s="1"/>
  <c r="AL22" i="6" s="1"/>
  <c r="AI21" i="6"/>
  <c r="BD21" i="6" s="1"/>
  <c r="AK21" i="6"/>
  <c r="AI20" i="6"/>
  <c r="BD20" i="6" s="1"/>
  <c r="AK20" i="6"/>
  <c r="AJ25" i="1"/>
  <c r="BG53" i="1"/>
  <c r="AK46" i="6" l="1"/>
  <c r="AK32" i="6"/>
  <c r="AM34" i="6"/>
  <c r="AN34" i="6"/>
  <c r="BF35" i="6"/>
  <c r="BG35" i="6" s="1"/>
  <c r="BH35" i="6" s="1"/>
  <c r="BI35" i="6" s="1"/>
  <c r="BJ35" i="6" s="1"/>
  <c r="BK35" i="6" s="1"/>
  <c r="BL35" i="6" s="1"/>
  <c r="BM35" i="6" s="1"/>
  <c r="BN35" i="6" s="1"/>
  <c r="BO35" i="6" s="1"/>
  <c r="AH35" i="6" s="1"/>
  <c r="AL35" i="6" s="1"/>
  <c r="AL46" i="6" s="1"/>
  <c r="AM22" i="6"/>
  <c r="AN22" i="6"/>
  <c r="BF21" i="6"/>
  <c r="BG21" i="6" s="1"/>
  <c r="BH21" i="6" s="1"/>
  <c r="BI21" i="6" s="1"/>
  <c r="BJ21" i="6" s="1"/>
  <c r="BK21" i="6" s="1"/>
  <c r="BL21" i="6" s="1"/>
  <c r="BM21" i="6" s="1"/>
  <c r="BN21" i="6" s="1"/>
  <c r="BO21" i="6" s="1"/>
  <c r="AH21" i="6" s="1"/>
  <c r="AL21" i="6" s="1"/>
  <c r="BF20" i="6"/>
  <c r="BG20" i="6" s="1"/>
  <c r="BH20" i="6" s="1"/>
  <c r="BI20" i="6" s="1"/>
  <c r="BJ20" i="6" s="1"/>
  <c r="BK20" i="6" s="1"/>
  <c r="BL20" i="6" s="1"/>
  <c r="BM20" i="6" s="1"/>
  <c r="BN20" i="6" s="1"/>
  <c r="BO20" i="6" s="1"/>
  <c r="AH20" i="6" s="1"/>
  <c r="AL20" i="6" s="1"/>
  <c r="BG51" i="1"/>
  <c r="AI41" i="1"/>
  <c r="BD41" i="1" s="1"/>
  <c r="BF41" i="1" s="1"/>
  <c r="BG41" i="1" s="1"/>
  <c r="BH41" i="1" s="1"/>
  <c r="BI41" i="1" s="1"/>
  <c r="BJ41" i="1" s="1"/>
  <c r="BK41" i="1" s="1"/>
  <c r="BL41" i="1" s="1"/>
  <c r="BM41" i="1" s="1"/>
  <c r="BN41" i="1" s="1"/>
  <c r="BO41" i="1" s="1"/>
  <c r="AI22" i="1"/>
  <c r="BD22" i="1" s="1"/>
  <c r="BF22" i="1" s="1"/>
  <c r="BG22" i="1" s="1"/>
  <c r="BH22" i="1" s="1"/>
  <c r="BI22" i="1" s="1"/>
  <c r="BJ22" i="1" s="1"/>
  <c r="BK22" i="1" s="1"/>
  <c r="BL22" i="1" s="1"/>
  <c r="BM22" i="1" s="1"/>
  <c r="BN22" i="1" s="1"/>
  <c r="BO22" i="1" s="1"/>
  <c r="AI33" i="1"/>
  <c r="AI42" i="1"/>
  <c r="BD42" i="1" s="1"/>
  <c r="AI25" i="1"/>
  <c r="BD25" i="1" s="1"/>
  <c r="BF25" i="1" s="1"/>
  <c r="BG25" i="1" s="1"/>
  <c r="BH25" i="1" s="1"/>
  <c r="BI25" i="1" s="1"/>
  <c r="BJ25" i="1" s="1"/>
  <c r="BK25" i="1" s="1"/>
  <c r="BL25" i="1" s="1"/>
  <c r="BM25" i="1" s="1"/>
  <c r="BN25" i="1" s="1"/>
  <c r="BO25" i="1" s="1"/>
  <c r="AI34" i="1"/>
  <c r="AI45" i="1"/>
  <c r="AI39" i="1"/>
  <c r="BD39" i="1" s="1"/>
  <c r="AI23" i="1"/>
  <c r="BD23" i="1" s="1"/>
  <c r="BF23" i="1" s="1"/>
  <c r="BG23" i="1" s="1"/>
  <c r="BH23" i="1" s="1"/>
  <c r="BI23" i="1" s="1"/>
  <c r="BJ23" i="1" s="1"/>
  <c r="BK23" i="1" s="1"/>
  <c r="BL23" i="1" s="1"/>
  <c r="BM23" i="1" s="1"/>
  <c r="BN23" i="1" s="1"/>
  <c r="BO23" i="1" s="1"/>
  <c r="AI38" i="1"/>
  <c r="BD38" i="1" s="1"/>
  <c r="AI40" i="1"/>
  <c r="BD40" i="1" s="1"/>
  <c r="BF40" i="1" s="1"/>
  <c r="BG40" i="1" s="1"/>
  <c r="BH40" i="1" s="1"/>
  <c r="BI40" i="1" s="1"/>
  <c r="BJ40" i="1" s="1"/>
  <c r="BK40" i="1" s="1"/>
  <c r="BL40" i="1" s="1"/>
  <c r="BM40" i="1" s="1"/>
  <c r="BN40" i="1" s="1"/>
  <c r="BO40" i="1" s="1"/>
  <c r="AI20" i="1"/>
  <c r="BD20" i="1" s="1"/>
  <c r="BF20" i="1" s="1"/>
  <c r="BG20" i="1" s="1"/>
  <c r="BH20" i="1" s="1"/>
  <c r="BI20" i="1" s="1"/>
  <c r="BJ20" i="1" s="1"/>
  <c r="BK20" i="1" s="1"/>
  <c r="BL20" i="1" s="1"/>
  <c r="BM20" i="1" s="1"/>
  <c r="BN20" i="1" s="1"/>
  <c r="BO20" i="1" s="1"/>
  <c r="AI24" i="1"/>
  <c r="BD24" i="1" s="1"/>
  <c r="AI32" i="1"/>
  <c r="AI21" i="1"/>
  <c r="BD21" i="1" s="1"/>
  <c r="BF21" i="1" s="1"/>
  <c r="BG21" i="1" s="1"/>
  <c r="BH21" i="1" s="1"/>
  <c r="BI21" i="1" s="1"/>
  <c r="BJ21" i="1" s="1"/>
  <c r="BK21" i="1" s="1"/>
  <c r="BL21" i="1" s="1"/>
  <c r="BM21" i="1" s="1"/>
  <c r="BN21" i="1" s="1"/>
  <c r="BO21" i="1" s="1"/>
  <c r="AK38" i="1" l="1"/>
  <c r="AK40" i="1"/>
  <c r="AH20" i="1"/>
  <c r="AL20" i="1" s="1"/>
  <c r="AL32" i="6"/>
  <c r="AK41" i="1"/>
  <c r="AH23" i="1"/>
  <c r="AL23" i="1" s="1"/>
  <c r="AH25" i="1"/>
  <c r="AL25" i="1" s="1"/>
  <c r="AN35" i="6"/>
  <c r="AN46" i="6" s="1"/>
  <c r="AM35" i="6"/>
  <c r="AO50" i="6" s="1"/>
  <c r="AK21" i="1"/>
  <c r="AK20" i="1"/>
  <c r="AK25" i="1"/>
  <c r="AK42" i="1"/>
  <c r="AM21" i="6"/>
  <c r="AN21" i="6"/>
  <c r="AM20" i="6"/>
  <c r="AN20" i="6"/>
  <c r="AH41" i="1"/>
  <c r="AL41" i="1" s="1"/>
  <c r="AK45" i="1"/>
  <c r="AK23" i="1"/>
  <c r="AK39" i="1"/>
  <c r="AH21" i="1"/>
  <c r="AL21" i="1" s="1"/>
  <c r="AH40" i="1"/>
  <c r="AL40" i="1" s="1"/>
  <c r="AN40" i="1" s="1"/>
  <c r="AK22" i="1"/>
  <c r="AK24" i="1"/>
  <c r="AH22" i="1"/>
  <c r="AL22" i="1" s="1"/>
  <c r="AJ26" i="1"/>
  <c r="AI26" i="1" s="1"/>
  <c r="BF38" i="1"/>
  <c r="BG38" i="1" s="1"/>
  <c r="BH38" i="1" s="1"/>
  <c r="BI38" i="1" s="1"/>
  <c r="BJ38" i="1" s="1"/>
  <c r="BK38" i="1" s="1"/>
  <c r="BL38" i="1" s="1"/>
  <c r="BM38" i="1" s="1"/>
  <c r="BN38" i="1" s="1"/>
  <c r="BO38" i="1" s="1"/>
  <c r="BF39" i="1"/>
  <c r="BG39" i="1" s="1"/>
  <c r="BH39" i="1" s="1"/>
  <c r="BI39" i="1" s="1"/>
  <c r="BJ39" i="1" s="1"/>
  <c r="BK39" i="1" s="1"/>
  <c r="BL39" i="1" s="1"/>
  <c r="BM39" i="1" s="1"/>
  <c r="BN39" i="1" s="1"/>
  <c r="BO39" i="1" s="1"/>
  <c r="AH39" i="1" s="1"/>
  <c r="AL39" i="1" s="1"/>
  <c r="BF42" i="1"/>
  <c r="BG42" i="1" s="1"/>
  <c r="BH42" i="1" s="1"/>
  <c r="BI42" i="1" s="1"/>
  <c r="BJ42" i="1" s="1"/>
  <c r="BK42" i="1" s="1"/>
  <c r="BL42" i="1" s="1"/>
  <c r="BM42" i="1" s="1"/>
  <c r="BN42" i="1" s="1"/>
  <c r="BO42" i="1" s="1"/>
  <c r="AH42" i="1" s="1"/>
  <c r="AL42" i="1" s="1"/>
  <c r="BF24" i="1"/>
  <c r="BG24" i="1" s="1"/>
  <c r="BH24" i="1" s="1"/>
  <c r="BI24" i="1" s="1"/>
  <c r="BJ24" i="1" s="1"/>
  <c r="BK24" i="1" s="1"/>
  <c r="BL24" i="1" s="1"/>
  <c r="BM24" i="1" s="1"/>
  <c r="BN24" i="1" s="1"/>
  <c r="BO24" i="1" s="1"/>
  <c r="AH24" i="1" s="1"/>
  <c r="BD45" i="1"/>
  <c r="BF45" i="1" s="1"/>
  <c r="BG45" i="1" s="1"/>
  <c r="BH45" i="1" s="1"/>
  <c r="BI45" i="1" s="1"/>
  <c r="BJ45" i="1" s="1"/>
  <c r="BK45" i="1" s="1"/>
  <c r="BL45" i="1" s="1"/>
  <c r="BM45" i="1" s="1"/>
  <c r="BN45" i="1" s="1"/>
  <c r="BO45" i="1" s="1"/>
  <c r="AH45" i="1" s="1"/>
  <c r="AN41" i="1" l="1"/>
  <c r="AH38" i="1"/>
  <c r="AL38" i="1" s="1"/>
  <c r="AN50" i="6"/>
  <c r="AM46" i="6"/>
  <c r="AN32" i="6"/>
  <c r="AN52" i="6" s="1"/>
  <c r="AM32" i="6"/>
  <c r="AN21" i="1"/>
  <c r="AN42" i="1"/>
  <c r="AM20" i="1"/>
  <c r="AN25" i="1"/>
  <c r="AO20" i="6"/>
  <c r="AO21" i="6" s="1"/>
  <c r="AO22" i="6" s="1"/>
  <c r="AO23" i="6" s="1"/>
  <c r="AO24" i="6" s="1"/>
  <c r="AO25" i="6" s="1"/>
  <c r="AO26" i="6" s="1"/>
  <c r="AO27" i="6" s="1"/>
  <c r="AO28" i="6" s="1"/>
  <c r="AO29" i="6" s="1"/>
  <c r="AO30" i="6" s="1"/>
  <c r="AO31" i="6" s="1"/>
  <c r="AO32" i="6" s="1"/>
  <c r="AO33" i="6" s="1"/>
  <c r="AO34" i="6" s="1"/>
  <c r="AO35" i="6" s="1"/>
  <c r="AO36" i="6" s="1"/>
  <c r="AO37" i="6" s="1"/>
  <c r="AO38" i="6" s="1"/>
  <c r="AO39" i="6" s="1"/>
  <c r="AO40" i="6" s="1"/>
  <c r="AO41" i="6" s="1"/>
  <c r="AO42" i="6" s="1"/>
  <c r="AO43" i="6" s="1"/>
  <c r="AO44" i="6" s="1"/>
  <c r="AO45" i="6" s="1"/>
  <c r="AM41" i="1"/>
  <c r="AN22" i="1"/>
  <c r="AM40" i="1"/>
  <c r="AN39" i="1"/>
  <c r="AM23" i="1"/>
  <c r="AM42" i="1"/>
  <c r="AM39" i="1"/>
  <c r="AM22" i="1"/>
  <c r="AM25" i="1"/>
  <c r="AM21" i="1"/>
  <c r="AK26" i="1"/>
  <c r="AN20" i="1"/>
  <c r="AL45" i="1"/>
  <c r="AM45" i="1" s="1"/>
  <c r="AN23" i="1"/>
  <c r="AL24" i="1"/>
  <c r="BD26" i="1"/>
  <c r="BF26" i="1" s="1"/>
  <c r="BG26" i="1" s="1"/>
  <c r="BH26" i="1" s="1"/>
  <c r="BI26" i="1" s="1"/>
  <c r="BJ26" i="1" s="1"/>
  <c r="BK26" i="1" s="1"/>
  <c r="BL26" i="1" s="1"/>
  <c r="BM26" i="1" s="1"/>
  <c r="BN26" i="1" s="1"/>
  <c r="BO26" i="1" s="1"/>
  <c r="AH26" i="1" s="1"/>
  <c r="AN38" i="1" l="1"/>
  <c r="AM38" i="1"/>
  <c r="AN24" i="1"/>
  <c r="AM24" i="1"/>
  <c r="AO20" i="1"/>
  <c r="AO21" i="1" s="1"/>
  <c r="AO22" i="1" s="1"/>
  <c r="AO23" i="1" s="1"/>
  <c r="AL26" i="1"/>
  <c r="AN45" i="1"/>
  <c r="AO24" i="1" l="1"/>
  <c r="AO25" i="1" s="1"/>
  <c r="AN26" i="1"/>
  <c r="AM26" i="1"/>
  <c r="AJ30" i="1"/>
  <c r="AI30" i="1" s="1"/>
  <c r="AO26" i="1" l="1"/>
  <c r="AK30" i="1"/>
  <c r="AJ31" i="1"/>
  <c r="AI31" i="1" s="1"/>
  <c r="BD30" i="1" l="1"/>
  <c r="BF30" i="1" s="1"/>
  <c r="BG30" i="1" s="1"/>
  <c r="BH30" i="1" s="1"/>
  <c r="BI30" i="1" s="1"/>
  <c r="BJ30" i="1" s="1"/>
  <c r="BK30" i="1" s="1"/>
  <c r="BL30" i="1" s="1"/>
  <c r="BM30" i="1" s="1"/>
  <c r="BN30" i="1" s="1"/>
  <c r="BO30" i="1" s="1"/>
  <c r="AH30" i="1" s="1"/>
  <c r="AK31" i="1"/>
  <c r="AL30" i="1" l="1"/>
  <c r="BD31" i="1"/>
  <c r="BF31" i="1" s="1"/>
  <c r="BG31" i="1" s="1"/>
  <c r="BH31" i="1" s="1"/>
  <c r="BI31" i="1" s="1"/>
  <c r="BJ31" i="1" s="1"/>
  <c r="BK31" i="1" s="1"/>
  <c r="BL31" i="1" s="1"/>
  <c r="BM31" i="1" s="1"/>
  <c r="BN31" i="1" s="1"/>
  <c r="BO31" i="1" s="1"/>
  <c r="AH31" i="1" s="1"/>
  <c r="AK32" i="1"/>
  <c r="AN30" i="1" l="1"/>
  <c r="AM30" i="1"/>
  <c r="AL31" i="1"/>
  <c r="AK33" i="1"/>
  <c r="BD32" i="1"/>
  <c r="BF32" i="1" s="1"/>
  <c r="BG32" i="1" s="1"/>
  <c r="BH32" i="1" s="1"/>
  <c r="BI32" i="1" s="1"/>
  <c r="BJ32" i="1" s="1"/>
  <c r="BK32" i="1" s="1"/>
  <c r="BL32" i="1" s="1"/>
  <c r="BM32" i="1" s="1"/>
  <c r="BN32" i="1" s="1"/>
  <c r="BO32" i="1" s="1"/>
  <c r="AH32" i="1" s="1"/>
  <c r="AN31" i="1" l="1"/>
  <c r="AM31" i="1"/>
  <c r="AL32" i="1"/>
  <c r="AJ35" i="1"/>
  <c r="AI35" i="1" s="1"/>
  <c r="AK34" i="1"/>
  <c r="BD33" i="1"/>
  <c r="BF33" i="1" s="1"/>
  <c r="BG33" i="1" s="1"/>
  <c r="BH33" i="1" s="1"/>
  <c r="BI33" i="1" s="1"/>
  <c r="BJ33" i="1" s="1"/>
  <c r="BK33" i="1" s="1"/>
  <c r="BL33" i="1" s="1"/>
  <c r="BM33" i="1" s="1"/>
  <c r="BN33" i="1" s="1"/>
  <c r="BO33" i="1" s="1"/>
  <c r="AH33" i="1" s="1"/>
  <c r="AN32" i="1" l="1"/>
  <c r="AM32" i="1"/>
  <c r="AL33" i="1"/>
  <c r="AK35" i="1"/>
  <c r="BD34" i="1"/>
  <c r="BF34" i="1" s="1"/>
  <c r="BG34" i="1" s="1"/>
  <c r="BH34" i="1" s="1"/>
  <c r="BI34" i="1" s="1"/>
  <c r="BJ34" i="1" s="1"/>
  <c r="BK34" i="1" s="1"/>
  <c r="BL34" i="1" s="1"/>
  <c r="BM34" i="1" s="1"/>
  <c r="BN34" i="1" s="1"/>
  <c r="BO34" i="1" s="1"/>
  <c r="AH34" i="1" s="1"/>
  <c r="AJ36" i="1"/>
  <c r="AI36" i="1" s="1"/>
  <c r="AN33" i="1" l="1"/>
  <c r="AM33" i="1"/>
  <c r="AL34" i="1"/>
  <c r="AJ37" i="1"/>
  <c r="AI37" i="1" s="1"/>
  <c r="AK36" i="1"/>
  <c r="BD35" i="1"/>
  <c r="BF35" i="1" s="1"/>
  <c r="BG35" i="1" s="1"/>
  <c r="BH35" i="1" s="1"/>
  <c r="BI35" i="1" s="1"/>
  <c r="BJ35" i="1" s="1"/>
  <c r="BK35" i="1" s="1"/>
  <c r="BL35" i="1" s="1"/>
  <c r="BM35" i="1" s="1"/>
  <c r="BN35" i="1" s="1"/>
  <c r="BO35" i="1" s="1"/>
  <c r="AH35" i="1" s="1"/>
  <c r="AN34" i="1" l="1"/>
  <c r="AM34" i="1"/>
  <c r="AL35" i="1"/>
  <c r="AK37" i="1"/>
  <c r="BD36" i="1"/>
  <c r="BF36" i="1" s="1"/>
  <c r="BG36" i="1" s="1"/>
  <c r="BH36" i="1" s="1"/>
  <c r="BI36" i="1" s="1"/>
  <c r="BJ36" i="1" s="1"/>
  <c r="BK36" i="1" s="1"/>
  <c r="BL36" i="1" s="1"/>
  <c r="BM36" i="1" s="1"/>
  <c r="BN36" i="1" s="1"/>
  <c r="BO36" i="1" s="1"/>
  <c r="AH36" i="1" s="1"/>
  <c r="AJ44" i="1"/>
  <c r="AI44" i="1" s="1"/>
  <c r="AJ43" i="1"/>
  <c r="AI43" i="1" s="1"/>
  <c r="AN35" i="1" l="1"/>
  <c r="AM35" i="1"/>
  <c r="AL36" i="1"/>
  <c r="AM36" i="1" s="1"/>
  <c r="AK44" i="1"/>
  <c r="BD44" i="1"/>
  <c r="BF44" i="1" s="1"/>
  <c r="BG44" i="1" s="1"/>
  <c r="BH44" i="1" s="1"/>
  <c r="BI44" i="1" s="1"/>
  <c r="BJ44" i="1" s="1"/>
  <c r="BK44" i="1" s="1"/>
  <c r="BL44" i="1" s="1"/>
  <c r="BM44" i="1" s="1"/>
  <c r="BN44" i="1" s="1"/>
  <c r="BO44" i="1" s="1"/>
  <c r="AH44" i="1" s="1"/>
  <c r="BD37" i="1"/>
  <c r="BF37" i="1" s="1"/>
  <c r="BG37" i="1" s="1"/>
  <c r="BH37" i="1" s="1"/>
  <c r="BI37" i="1" s="1"/>
  <c r="BJ37" i="1" s="1"/>
  <c r="BK37" i="1" s="1"/>
  <c r="BL37" i="1" s="1"/>
  <c r="BM37" i="1" s="1"/>
  <c r="BN37" i="1" s="1"/>
  <c r="BO37" i="1" s="1"/>
  <c r="AH37" i="1" s="1"/>
  <c r="AK43" i="1"/>
  <c r="AN36" i="1" l="1"/>
  <c r="AL37" i="1"/>
  <c r="BD43" i="1"/>
  <c r="BF43" i="1" s="1"/>
  <c r="BG43" i="1" s="1"/>
  <c r="BH43" i="1" s="1"/>
  <c r="BI43" i="1" s="1"/>
  <c r="BJ43" i="1" s="1"/>
  <c r="BK43" i="1" s="1"/>
  <c r="BL43" i="1" s="1"/>
  <c r="BM43" i="1" s="1"/>
  <c r="BN43" i="1" s="1"/>
  <c r="BO43" i="1" s="1"/>
  <c r="AH43" i="1" s="1"/>
  <c r="AN37" i="1" l="1"/>
  <c r="AM37" i="1"/>
  <c r="AL43" i="1"/>
  <c r="AM43" i="1" s="1"/>
  <c r="AL44" i="1"/>
  <c r="AM44" i="1" l="1"/>
  <c r="AN43" i="1"/>
  <c r="AN44" i="1"/>
  <c r="AJ28" i="1" l="1"/>
  <c r="AI28" i="1" s="1"/>
  <c r="BD28" i="1" s="1"/>
  <c r="AJ27" i="1"/>
  <c r="AK27" i="1" s="1"/>
  <c r="AI27" i="1" l="1"/>
  <c r="BD27" i="1" s="1"/>
  <c r="BF27" i="1" s="1"/>
  <c r="BG27" i="1" s="1"/>
  <c r="BH27" i="1" s="1"/>
  <c r="BI27" i="1" s="1"/>
  <c r="BJ27" i="1" s="1"/>
  <c r="BK27" i="1" s="1"/>
  <c r="BL27" i="1" s="1"/>
  <c r="BM27" i="1" s="1"/>
  <c r="BN27" i="1" s="1"/>
  <c r="BO27" i="1" s="1"/>
  <c r="AH27" i="1" s="1"/>
  <c r="AL27" i="1" s="1"/>
  <c r="BF28" i="1"/>
  <c r="BG28" i="1" s="1"/>
  <c r="BH28" i="1" s="1"/>
  <c r="BI28" i="1" s="1"/>
  <c r="BJ28" i="1" s="1"/>
  <c r="BK28" i="1" s="1"/>
  <c r="BL28" i="1" s="1"/>
  <c r="BM28" i="1" s="1"/>
  <c r="BN28" i="1" s="1"/>
  <c r="BO28" i="1" s="1"/>
  <c r="AH28" i="1" s="1"/>
  <c r="AL28" i="1" s="1"/>
  <c r="AK28" i="1"/>
  <c r="AM27" i="1" l="1"/>
  <c r="AM28" i="1"/>
  <c r="AN28" i="1"/>
  <c r="AN27" i="1"/>
  <c r="AO27" i="1" l="1"/>
  <c r="AO28" i="1" s="1"/>
  <c r="AJ29" i="1"/>
  <c r="AI29" i="1" s="1"/>
  <c r="BD29" i="1" s="1"/>
  <c r="AK29" i="1" l="1"/>
  <c r="AK46" i="1" s="1"/>
  <c r="BF29" i="1"/>
  <c r="BG29" i="1" s="1"/>
  <c r="BH29" i="1" s="1"/>
  <c r="BI29" i="1" s="1"/>
  <c r="BJ29" i="1" s="1"/>
  <c r="BK29" i="1" s="1"/>
  <c r="BL29" i="1" s="1"/>
  <c r="BM29" i="1" s="1"/>
  <c r="BN29" i="1" s="1"/>
  <c r="BO29" i="1" s="1"/>
  <c r="AH29" i="1" s="1"/>
  <c r="AL29" i="1" s="1"/>
  <c r="AL46" i="1" s="1"/>
  <c r="AM29" i="1" l="1"/>
  <c r="AM46" i="1" s="1"/>
  <c r="AN29" i="1"/>
  <c r="AN46" i="1" l="1"/>
  <c r="AN52" i="1"/>
  <c r="AO29" i="1"/>
  <c r="AO30" i="1" s="1"/>
  <c r="AO31" i="1" s="1"/>
  <c r="AO32" i="1" s="1"/>
  <c r="AO33" i="1" s="1"/>
  <c r="AO34" i="1" s="1"/>
  <c r="AO35" i="1" s="1"/>
  <c r="AO36" i="1" s="1"/>
  <c r="AO37" i="1" s="1"/>
  <c r="AO38" i="1" s="1"/>
  <c r="AO39" i="1" s="1"/>
  <c r="AO40" i="1" s="1"/>
  <c r="AO41" i="1" s="1"/>
  <c r="AO42" i="1" s="1"/>
  <c r="AO43" i="1" s="1"/>
  <c r="AO44" i="1" s="1"/>
  <c r="AO45" i="1" s="1"/>
</calcChain>
</file>

<file path=xl/sharedStrings.xml><?xml version="1.0" encoding="utf-8"?>
<sst xmlns="http://schemas.openxmlformats.org/spreadsheetml/2006/main" count="555" uniqueCount="442">
  <si>
    <t>[mm]</t>
  </si>
  <si>
    <t>Dichte</t>
  </si>
  <si>
    <t>si =</t>
  </si>
  <si>
    <t>T</t>
  </si>
  <si>
    <t>ta =</t>
  </si>
  <si>
    <t>p</t>
  </si>
  <si>
    <t>gu =</t>
  </si>
  <si>
    <t>gw =</t>
  </si>
  <si>
    <t>kv =</t>
  </si>
  <si>
    <t>Dichteberechnung Wasser</t>
  </si>
  <si>
    <t>[°C]</t>
  </si>
  <si>
    <t>[bar]</t>
  </si>
  <si>
    <t>[m]</t>
  </si>
  <si>
    <t>Re</t>
  </si>
  <si>
    <t>[Pa/m]</t>
  </si>
  <si>
    <t>[Pa]</t>
  </si>
  <si>
    <t>[m/s]</t>
  </si>
  <si>
    <t>lamb0</t>
  </si>
  <si>
    <t>lamb1</t>
  </si>
  <si>
    <t>lamb2</t>
  </si>
  <si>
    <t>lamb3</t>
  </si>
  <si>
    <t>lamb4</t>
  </si>
  <si>
    <t>lamb5</t>
  </si>
  <si>
    <t>lamb6</t>
  </si>
  <si>
    <t>lamb7</t>
  </si>
  <si>
    <t>lamb8</t>
  </si>
  <si>
    <t>lamb9</t>
  </si>
  <si>
    <t>lamb10</t>
  </si>
  <si>
    <t>Fehler</t>
  </si>
  <si>
    <t>k=</t>
  </si>
  <si>
    <t>di=</t>
  </si>
  <si>
    <t>Re=</t>
  </si>
  <si>
    <t>Winkel 90°</t>
  </si>
  <si>
    <t>Winkel 45°</t>
  </si>
  <si>
    <t>T-Stück Abzweig</t>
  </si>
  <si>
    <t>T-Stück Durchgang</t>
  </si>
  <si>
    <t>T-Stück Verteilung</t>
  </si>
  <si>
    <t>T-Stück Vereinigung</t>
  </si>
  <si>
    <t>Kugelhahn</t>
  </si>
  <si>
    <t>Wassertemperatur:</t>
  </si>
  <si>
    <t>Wasserdichte:</t>
  </si>
  <si>
    <t>Velocidad</t>
  </si>
  <si>
    <t>Codo 90º</t>
  </si>
  <si>
    <t>Codo 45º</t>
  </si>
  <si>
    <t>[l/min]</t>
  </si>
  <si>
    <r>
      <t>[kg/m</t>
    </r>
    <r>
      <rPr>
        <vertAlign val="superscript"/>
        <sz val="10"/>
        <color theme="1"/>
        <rFont val="Arial"/>
        <family val="2"/>
      </rPr>
      <t>3</t>
    </r>
    <r>
      <rPr>
        <sz val="10"/>
        <color theme="1"/>
        <rFont val="Arial"/>
        <family val="2"/>
      </rPr>
      <t>]</t>
    </r>
  </si>
  <si>
    <r>
      <t>[m</t>
    </r>
    <r>
      <rPr>
        <vertAlign val="superscript"/>
        <sz val="10"/>
        <color theme="1"/>
        <rFont val="Arial"/>
        <family val="2"/>
      </rPr>
      <t>2</t>
    </r>
    <r>
      <rPr>
        <sz val="10"/>
        <color theme="1"/>
        <rFont val="Arial"/>
        <family val="2"/>
      </rPr>
      <t>/s]</t>
    </r>
  </si>
  <si>
    <t>Rohrrauhigkeit:</t>
  </si>
  <si>
    <t>Absperr-schieber</t>
  </si>
  <si>
    <t>Druckverlust Formteile</t>
  </si>
  <si>
    <t>Druckverlust Rohr</t>
  </si>
  <si>
    <t>kinematische Viskosität:</t>
  </si>
  <si>
    <t>SDR 11</t>
  </si>
  <si>
    <t>Rohrauswahl pro Zeile</t>
  </si>
  <si>
    <t>Druckverlust Gruppierung kommuliert</t>
  </si>
  <si>
    <t>Teilstrecke</t>
  </si>
  <si>
    <t>R1</t>
  </si>
  <si>
    <t>R2</t>
  </si>
  <si>
    <t>R3</t>
  </si>
  <si>
    <t>R4</t>
  </si>
  <si>
    <t>R5</t>
  </si>
  <si>
    <t>Ringleitungsabschnitt</t>
  </si>
  <si>
    <t>Druckverlust gemittelt [bar]</t>
  </si>
  <si>
    <t>Verbraucher</t>
  </si>
  <si>
    <t>Betrachtung Vorlauf</t>
  </si>
  <si>
    <t>NUTZUNGSBEDINGUNGEN</t>
  </si>
  <si>
    <t>BERECHNUNGSTOOL RAUPEX INDUSTRIEROHRSYSTEM - MEDIUM WASSER</t>
  </si>
  <si>
    <t>Z1</t>
  </si>
  <si>
    <t>Z2</t>
  </si>
  <si>
    <t>Z3</t>
  </si>
  <si>
    <t>Z5</t>
  </si>
  <si>
    <t>T1</t>
  </si>
  <si>
    <t>H1</t>
  </si>
  <si>
    <t>RINGLEITUNG in beiden Fließrichtungen erfassen bis der theoretische hydraulische Nullpunkt definiert ist.</t>
  </si>
  <si>
    <t>Z4</t>
  </si>
  <si>
    <t>H2</t>
  </si>
  <si>
    <t>Strangabschnitt</t>
  </si>
  <si>
    <t>V1</t>
  </si>
  <si>
    <t>RINGLEITUNG LINKS</t>
  </si>
  <si>
    <t>RINGLEITUNG RECHTS</t>
  </si>
  <si>
    <t>[bar].</t>
  </si>
  <si>
    <t>… Platz für weitere Notizen.</t>
  </si>
  <si>
    <t>… Benennung der Rohranlage</t>
  </si>
  <si>
    <t>Hinweis: Die Rohrnetzskizze kann aus aus jeder anderen Anwendung heraus kopiert und auf dieser Seite eingefügt werden.</t>
  </si>
  <si>
    <t>Ergebnis:
Der Gesamtdruckverlust im dargestellten Vorlauf beträgt … bar.</t>
  </si>
  <si>
    <t>Die Rohrnetzskizze kann aus jeder anderen Anwendung heraus kopiert und auf den ersten drei Seiten im Berechnungstool eingefügt werden.
Alternativ kann die Rohrnetzskizze auch durch Einzellinien erstellt werden.</t>
  </si>
  <si>
    <t>Als Zwischenziel wollen wir nun die ideale Verteilung des Volumenstrom in der Ringleitung ermitteln, welche sich in unserem Beispiel bei T1 beginnend nach rechts und links aufteilt und im hydraulischen Nullpunkt wieder vereint. Der hydraulische Nullpunkt kann ein T-Stück Tx oder ein Verbraucher Zx sein, wir vermuten den Punkt T2 und öffnen das Tabellenblatt Ringleitung.
Im oberen Feld nun die links laufenden Ringleitungsabschnitte R1 und R2 und im unteren Feld die rechtslaufenden Ringleitungsabschnitte R5, R4 und R3 eintragen. Für jeden Ringleitungsabschnitt immer nur den Volumenstrom eingeben, welcher am Ende vom Verbraucher Zx abgenommen oder am T-Stück Tx abgegeben wird. Das obere und untere Feld endet in unserer Annahme jeweils im Punkt T2. Wir verteilen den Volumenstrom nun nach rechts und links im Punkt T2 bis die Seiten im Kreisdiagramm gleich groß sind. Nun kennen wir die ideale Verteilung des Volumenstrom in der Ringleitung für die weitere Berechnung.</t>
  </si>
  <si>
    <t>Interpretiere dein Ergebnis auf der ersten Seite:</t>
  </si>
  <si>
    <t>ANLEITUNG BERECHNUNGSTOOL RAUPEX INDUSTRIEROHRSYSTEM</t>
  </si>
  <si>
    <t>DRUCKVERLUSTBETRACHTUNG IM VORLAUF - MEDIUM WASSER</t>
  </si>
  <si>
    <t>RAUPEX INDUSTRIAL PIPING SYSTEM - PRESSURE LOSS OBSERVATION, FLOW, FLUID: WATER</t>
  </si>
  <si>
    <t>SISTEMA TUBERIA INDUSTRIAL RAUPEX - VISUALIZACION PERDIDA DE CARGA PARA IDA FLUIDO AGUA</t>
  </si>
  <si>
    <t>RAUPEX SISTEMA TUBI INDUSTRIALI - CALCOLO PERDITE DI CARICO FLUIDO DI PROCESSO ACQUA</t>
  </si>
  <si>
    <t>Calificación</t>
  </si>
  <si>
    <t>Denominazione</t>
  </si>
  <si>
    <t>RAUPEX INDUSTRIAL PIPING SYSTEM - RING MAIN, FLOW, FLUID: WATER</t>
  </si>
  <si>
    <t>SISTEMA TUBERIA INDUSTRIAL RAUPEX - SISTEMA EN ANILLO PARA IDA FLUIDO AGUA</t>
  </si>
  <si>
    <t>RAUPEX SISTEMA TUBI INDUSTRIALI - SISTEMA AD ANELLO FLUIDO DI PROCESSO ACQUA</t>
  </si>
  <si>
    <t>Observation Flow</t>
  </si>
  <si>
    <t>Vista ida</t>
  </si>
  <si>
    <t>Ring main section</t>
  </si>
  <si>
    <t xml:space="preserve">Sección sistema anillo </t>
  </si>
  <si>
    <t>Sezione sistema ad anello</t>
  </si>
  <si>
    <t xml:space="preserve">RING MAIN, captured in both flow directions, until the theoretical,hydraulic zero-point is defined, </t>
  </si>
  <si>
    <t>Introducir sistema en anillo en ambas direcciones hasta encontrar el punto cero teórico hidraúlico.</t>
  </si>
  <si>
    <t xml:space="preserve">Regolare Luhgezza TUBO DELL'ANELLO in entrambe le direzioni di flusso fino a definire punto zero/nullo teorico.
</t>
  </si>
  <si>
    <t>section</t>
  </si>
  <si>
    <t>Sección</t>
  </si>
  <si>
    <t>Tratto</t>
  </si>
  <si>
    <t>consumer</t>
  </si>
  <si>
    <t>Consumidor</t>
  </si>
  <si>
    <t>Utilizzatore</t>
  </si>
  <si>
    <t>elbow 90°</t>
  </si>
  <si>
    <t>Curva 90°</t>
  </si>
  <si>
    <t>elbow 45°</t>
  </si>
  <si>
    <t>Curva 45°</t>
  </si>
  <si>
    <t>T-piece branch flow</t>
  </si>
  <si>
    <t>Pieza en T derivación</t>
  </si>
  <si>
    <t>T-piece through flow</t>
  </si>
  <si>
    <t>Pieza en T paso</t>
  </si>
  <si>
    <t>T-piece flow splitting</t>
  </si>
  <si>
    <t>Pieza en T distribución</t>
  </si>
  <si>
    <t>Pieza en T unificación</t>
  </si>
  <si>
    <t>velocity</t>
  </si>
  <si>
    <t>Velocità</t>
  </si>
  <si>
    <t>pressure loss fitting</t>
  </si>
  <si>
    <t>pressure loss pipe</t>
  </si>
  <si>
    <t>Druckverlust Formteil + Rohr</t>
  </si>
  <si>
    <t>pressure loss pipe + fitting</t>
  </si>
  <si>
    <t>Der hydraulische Nullpunkt ist gefunden, wenn die Druckverluste gleich sind.</t>
  </si>
  <si>
    <t>El punto cero hidraulico encontrado, cuando las perdidas de carga son iguales.</t>
  </si>
  <si>
    <t>Perdita di carico media [bar]</t>
  </si>
  <si>
    <t>RAUPEX INDUSTRIAL PIPING SYSTEM - LINE MAIN, FLOW, FLUID: WATER</t>
  </si>
  <si>
    <t>SISTEMA DE TUBERIA INDUSTRIAL RAUPEX -RAMIFICACION IDA FLUIDO AGUA</t>
  </si>
  <si>
    <t>SISTEMA TUBI INDUSTRAILI RAUPEX- SISTEMA CON MANDATA IN DERIVAZIONE CON FLUIDO ACQUA</t>
  </si>
  <si>
    <t xml:space="preserve">Line main section </t>
  </si>
  <si>
    <t>Sección ramificación</t>
  </si>
  <si>
    <t>Sezione line ain derivazione</t>
  </si>
  <si>
    <t>TERMS OF USE</t>
  </si>
  <si>
    <t>Manua DE USO</t>
  </si>
  <si>
    <t>CONDIZIONI D'USO</t>
  </si>
  <si>
    <t>CALCULATION TOOL RAUPEX INDUSTRIAL PIPING SYSTEM - FLUID: WATER</t>
  </si>
  <si>
    <t>PROGRAMA DE CALCULO TUBERIA INDUSTRIAL RAUPEX - FLUIDO AGUA</t>
  </si>
  <si>
    <t>FOGLIO DI CALCOLO RAUPEX TUBI INDUSTRIALI CON FLUIDO ACQUA</t>
  </si>
  <si>
    <t>This calculation tool enables you to observe the pressure losses,for the fluid water, inside the RAUPEX systems, when using the RAUPEX INDUSTRIAL PIPING SYSTEM (SDR11 pipe) , in combination with the compression sleeve system. External components, outside the RAUPEX system, can not be included, in this observation. For the observation of the particular installation, e.g. ring or line main,this calculation tool offers different spreadsheets, which the user has to choose, or to combine, for his particular application, him having the sole responsibility. The displayed part results, have to be interpreted, and the overall result, derived, by the user.</t>
  </si>
  <si>
    <t>Con esta herramienta de cálculo, para la aplicación de transporte de agua, en combinación con el SISTEMA DE TUBERÍA INDUSTRIAL RAUPEX de la serie de tuberías SDR11 y sistema de unión por medio del casquillo corredizo, se pueden realizar análisis de pérdida de carga dentro del sistema RAUPEX. Los componentes fuera del sistema RAUPEX no pueden considerarse. Para la consideración de los diferentes tipos de instalación, por ejemplo, en anillo o ramificación, la herramienta de cálculo ofrece diferentes hojas de cálculo, siendo el usuario responsable de seleccionar, combinar y aplicar a la aplicación necesaria. Los resultados parciales resultantes son interpretados por el usuario así como  el resultado general.</t>
  </si>
  <si>
    <t xml:space="preserve">Con questo foglio di calcolo, per l'applicazione con fluido acqua, in relazione al RAUPEX SISTEMA TUBI INDUSTRAILI della serie di tubi SDR11 e con sistema di collegamento a manicotto inscindibile, è possibile eseguire analisi delle perdite di carico.  Altri  materiali o sistemi al di fuori del sistema RAUPEX non possono essere considerati. Per l'analisi della specifica tipologia di installazione, ad esempio nell'anello o in derivazione, lo strumento di calcolo offre diversi fogli di calcolo, che l'utente è responsabile di selezionare, utilizzare e applicare correttamente nella rispettiva applicazione. I risultati parziali  vengono interpretati e valutati dall'utente, stessa cosa per risultato complessivo. </t>
  </si>
  <si>
    <t>Constant efforts are being made to improve this calculation tool. In this context, we would appreciate, your feedback, when using this tool, as well as approved results, confirmed by your operation system. Updated versions will be provided, as downloads, on our homepage. Please check and make sure you are using the latest updated version.</t>
  </si>
  <si>
    <t>Por supuesto, siempre estamos tratando de mejorar esta herramienta de cálculo y solicitamos sus comentarios de la aplicación práctica, así como el acuerdo con los sistemas en funcionamiento. Las versiones actualizadas están disponibles para descargar desde nuestra página de internet. Por favor verifica si está utilizando la última versión.</t>
  </si>
  <si>
    <t>Naturalmente, cerchiamo sempre di migliorare questo strumento di calcolo e chiediamo il tuo feedback dall'applicazione pratica e verifica con i sistemi in funzione. Versioni aggiornate sono disponibili per il download dalla nostra homepage, quindi controlla di essere sempre aggiornato con ultima versione.</t>
  </si>
  <si>
    <t>Alle Daten innerhalb dieser Webseite/Software sind urheberrechtlich geschützt und dürfen nicht ohne Zustimmung der Rechteinhaber verwendet werden. Die durch das Urheberrecht begründeten Rechte, insbesondere die der Übersetzung, des Nachdruckes, der Entnahme von Abbildungen, der Funksendungen, der Wiedergabe auf fotomechanischem oder ähnlichem Wege und der Speicherung in Datenverarbeitungsanlagen, bleibt vorbehalten.</t>
  </si>
  <si>
    <t>This calculation tool / website, and its data content, is protected by copyright, and only can be used with permission of the holder of rights. The laws and regulations justified by the copyright, especially translations, reproductions, usage of images, transmission, photomechanical reproduction or other forms of reproduction and the storage in data processing systems, reserves the right to do so.</t>
  </si>
  <si>
    <t>Todos los datos de este sitio web / software están protegidos por derechos de autor y no pueden utilizarse sin el consentimiento del titular de los derechos. Se reservan los derechos basados en los derechos de autor, en particular los de traducción, reimpresión, toma de fotografías, emisiones de radio, reproducción por medios fotomecánicos o similares y almacenamiento en sistemas de procesamiento de datos.</t>
  </si>
  <si>
    <t>Tutti i dati su questo sito Web / software sono protetti da copyright e non possono essere utilizzati senza il consenso del titolare dei diritti. I diritti basati sul diritto d'autore, in particolare quelli di traduzione, ristampa, ripresa di immagini, trasmissioni radio, riproduzione con mezzi fotomeccanici o simili e archiviazione nei sistemi di elaborazione dei dati, sono riservati.</t>
  </si>
  <si>
    <t>Bitte beachten Sie die
Hinweise in den
Nutzungsbedingungen</t>
  </si>
  <si>
    <t xml:space="preserve">Please note the
information in our
terms of use </t>
  </si>
  <si>
    <t>Tenga en cuenta la
información en los
términos de uso</t>
  </si>
  <si>
    <t>Si prega di osservare
le istruzioni nei termini
di utilizzo</t>
  </si>
  <si>
    <t>RAUPEX INDUSTRIEROHRSYSTEM - DRUCKVERLUSTBETRACHTUNG VORLAUF MEDIUM WASSER</t>
  </si>
  <si>
    <t>RAUPEX INDUSTRIEROHRSYSTEM - RINGLEITUNG VORLAUF MEDIUM WASSER</t>
  </si>
  <si>
    <t>RAUPEX Rohr</t>
  </si>
  <si>
    <t>RAUPEX pipe</t>
  </si>
  <si>
    <t>Tubo RAUPEX</t>
  </si>
  <si>
    <t>Volumen-
strom
abgehend</t>
  </si>
  <si>
    <t>volume
flow
outgoing</t>
  </si>
  <si>
    <t>Volumen
de flujo
saliente</t>
  </si>
  <si>
    <t>Portata
uscente</t>
  </si>
  <si>
    <t>Volumen-
strom
gesamt</t>
  </si>
  <si>
    <t>volume
flow
total</t>
  </si>
  <si>
    <t>Volumen
de flujo
total</t>
  </si>
  <si>
    <t>Portata
Totale</t>
  </si>
  <si>
    <t>Rohr-
länge</t>
  </si>
  <si>
    <t xml:space="preserve">pipe
lenght </t>
  </si>
  <si>
    <t>Longitud
tubería</t>
  </si>
  <si>
    <t>Lung-
hezza
del tubo</t>
  </si>
  <si>
    <t>Redu-
zierung</t>
  </si>
  <si>
    <t>reduc-
tion</t>
  </si>
  <si>
    <t>Reduc-
ción</t>
  </si>
  <si>
    <t>Ridu-
zione</t>
  </si>
  <si>
    <t>Pezzo a T passante</t>
  </si>
  <si>
    <t>Pezzo a T confluenza</t>
  </si>
  <si>
    <t>Pezzo a T derivaz.</t>
  </si>
  <si>
    <t>Pezzo a T distribuz.</t>
  </si>
  <si>
    <t>Rohr-
reibung</t>
  </si>
  <si>
    <t>pipe
friction</t>
  </si>
  <si>
    <t>Fricción
tubería</t>
  </si>
  <si>
    <t>Attriti
Tubo</t>
  </si>
  <si>
    <t>Reynolds-
zahl</t>
  </si>
  <si>
    <t>Reynolds
number</t>
  </si>
  <si>
    <t>Numero
Reynolds</t>
  </si>
  <si>
    <t>Geschwin-
digkeit</t>
  </si>
  <si>
    <t>pressure loss grouped accumulated</t>
  </si>
  <si>
    <t>Perdidad de carga acumulada</t>
  </si>
  <si>
    <t>Perdida conexión + tubería</t>
  </si>
  <si>
    <t>Perdida de
carga
conexión</t>
  </si>
  <si>
    <t>Perdida de
carga
tubería</t>
  </si>
  <si>
    <t>Perdita carico connection</t>
  </si>
  <si>
    <t>Perdita tubo</t>
  </si>
  <si>
    <t>Perdita connection + tubo</t>
  </si>
  <si>
    <t>Perdite totali</t>
  </si>
  <si>
    <t>RING MAIN LEFT</t>
  </si>
  <si>
    <t>RING MAIN RIGHT</t>
  </si>
  <si>
    <t>pressure loss averaged [bar]</t>
  </si>
  <si>
    <t>Promedio perdida de carga [bar]</t>
  </si>
  <si>
    <t>La perdita di carico di equilibrio è stata trovata, se le perdite di carico nei 2 tratti sono uguali.</t>
  </si>
  <si>
    <t>The hydraulic zero-point is defined, when the pressure losses equal.</t>
  </si>
  <si>
    <t>RAUPEX INDUSTRIEROHRSYSTEM - STRANGLEITUNGEN VORLAUF MEDIUM WASSER</t>
  </si>
  <si>
    <t>water temperature:</t>
  </si>
  <si>
    <t>Temperatura Agua:</t>
  </si>
  <si>
    <t>Temperatura dell'acqua:</t>
  </si>
  <si>
    <t>STRANGLEITUNGEN erfassen, durch Leerzeilen sind gruppierte Teilbetrachtungen möglich.</t>
  </si>
  <si>
    <t>LINE MAIN, captured, by using blank space, accumulated views on sections are possible.</t>
  </si>
  <si>
    <t>Registrar RAMIFICACIONES, usando lineas vacias se puede visualizar secciones agrupadas.</t>
  </si>
  <si>
    <t>LINEA IN DERIVAZIONE, sono possibili viste parziali raggruppate con righe vuote.</t>
  </si>
  <si>
    <t>T-piece flow joining</t>
  </si>
  <si>
    <t>Der Benutzer entscheidet, welche Werte addiert am Ende der Spalten ausgegeben werden.</t>
  </si>
  <si>
    <t>The user decides which values are added together and output at the end of the columns.</t>
  </si>
  <si>
    <t>Interpret your result on the first page:</t>
  </si>
  <si>
    <t>Mit diesem Berechnungstool können für die Anwendung Wassertransport, in Verbindung mit dem RAUPEX INDUSTRIEROHRSYSTEM der Rohrreihe SDR11 und Schiebehülsenverbindung, Druckverlustbetrachtungen innerhalb des RAUPEX-Systems durchgeführt werden. Bauseitige Komponenten außerhalb des RAUPEX-Systems können in die Betrachtung nicht einbezogen werden. Für die Betrachtung der jeweiligen Verlegeart, zum Beispiel im Ring oder im Strang, bietet das Berechnungstool unterschiedliche Tabellenblätter an, welche durch den Benutzer eigenverantwortlich auszuwählen, zu kombinieren und auf den jeweiligen Anwendungsfall anzuwenden sind. Die sich ergebenden Teilergebnisse werden durch den Benutzer interpretiert sowie das Gesamtergebnis abgeleitet.</t>
  </si>
  <si>
    <t>Natürlich sind wir steht‘s bemüht dieses Berechnungstool zu verbessern und bitten in diesem Zusammenhang um Ihre Rückmeldung aus der praktischen Anwendung sowie der Übereinstimmung mit Anlagen im Betrieb. Aktualisierte Versionen werden über unsere Homepage als Download zur Verfügung gestellt, somit prüfen Sie bitte bei Nutzung die Aktualität.</t>
  </si>
  <si>
    <t xml:space="preserve">Durch die Nutzung dieses Berechnungstools gelten die Liefer- und Zahlungsbedingungen der REHAU AG+Co als akzeptiert. Diese sind jederzeit abrufbar unter folgendem Link: 
www.rehau.com/de-de/liefer-und-zahlungsbedingungen
</t>
  </si>
  <si>
    <t>Das Ergebnis ist damit ausschließlich eine ungefähre Näherung, für deren praktische Genauigkeit und Anwendbarkeit wir im Einzelfall keine Gewähr übernehmen können.</t>
  </si>
  <si>
    <t>Das Berechnungstool wendet unterschiedliche Formeln, Konstanten und Variablen an, welche nicht immer auf die jeweiligen Betriebsparameter angepasst werden können. Der sich hierbei ergebende Fehler wir durch die Kumulation der Teilabschnitte pro Tabellenzeile noch vergrößert. Auch können sich durch die Interpretation von Formteilen oder Fehlern in der Berechnung weitere Abweichungen ergeben.</t>
  </si>
  <si>
    <t>The result is solely an approximation. We assume no responsibility for it´s practical accuracy or applicability in particular cases.</t>
  </si>
  <si>
    <t>This calculation tool uses different formula, constants and variables, which are not always ajustable, to the particular operating factors.Resulting erros, in this connection, will increase, by the accumulation of part sections per table row. In consequence the interpretation of fittings or calculation errors, can result in additional deviation.</t>
  </si>
  <si>
    <t>Por lo tanto, el resultado es solo orientativo y en ningún caso asume la responsabilidad de los resultado precisos practicables.</t>
  </si>
  <si>
    <t>La herramienta de cálculo utiliza diferentes fórmulas, constantes y variables, que no siempre se pueden adaptar a los respectivos parámetros operativos. El error resultante se incrementa aún más por la comunicación de las subsecciones por línea de tabla. La interpretación de piezas moldeadas o errores en el cálculo también puede dar lugar a más desviaciones.</t>
  </si>
  <si>
    <t>Il risultato è quindi solo una indicazione di massima e approssimativa, quindi non possiamo garantire, l'accuratezza pratica ed esecutiva, dei singoli casi analizzati, e la relativa l'applicabilità.</t>
  </si>
  <si>
    <t>Lo strumento di calcolo utilizza diverse formule, costanti e variabili, che non possono sempre essere adattate ai rispettivi parametri operativi. L'errore risultante viene ulteriormente aumentato dalla commulazione delle sottosezioni per riga di tabella. L'interpretazione di parti stampate o errori nel calcolo può anche comportare ulteriori imprecisioni.</t>
  </si>
  <si>
    <t>Erstelle eine Skizze vom Vorlauf und beschrifte die Leitungsabschnitte und die Verbraucher.</t>
  </si>
  <si>
    <t xml:space="preserve">Die Beschriftungen könnten wie folgt gewählt werden:
          Hx Hauptleitungsabschnitt
          Rx Ringleitungsabschnitt
          Vx Verteilleitungsabschnitt
          Zx  Verbraucher (Schweiss-)Zange
          Tx   T-Stück
Ein Leitungsabschnitt wird dadurch definiert, dass er nur am Anfang und am Ende eine Volumenstromteilung oder -zusammenführung aufzeigt (Ausnahmen siehe Skizze H1 und V1). Stichleitungen zum Einzelverbraucher und deren T-Stücke können bei Bedarf gekennzeichnet werden. </t>
  </si>
  <si>
    <t>Druckverlust hydraulischer Vorlauf (kritischer Pfad) der Beispielanlage.</t>
  </si>
  <si>
    <t>Regel Druckverlust &lt; 0,2bar</t>
  </si>
  <si>
    <t>Mit diesem Berechnungstool wird nur der Druckverlust im Vorlauf der Rohrleitungsanlage berechnet, welcher im Ergebnis &lt; 0,2 bar sein muss. Wird der Rücklauf identisch ausgeführt, kann dieser Wert verdoppelt werden, um auf den Gesamtdruckverlust der Rohrleitungsanlage zu schließen, welcher im Ergebnis &lt; 0,4 bar sein muss.</t>
  </si>
  <si>
    <t>Regel zur Rohrdimension</t>
  </si>
  <si>
    <t>Regel zur Optimierung mittels Dimensionswahl</t>
  </si>
  <si>
    <t>Regel zur Optimierung mittels Ringleitung</t>
  </si>
  <si>
    <t>Regel zur Optimierung mittels Position der HIP</t>
  </si>
  <si>
    <t>Hinweisampel 
Druckverlust</t>
  </si>
  <si>
    <t>Auf den Berechnungsblättern "Ringleitung" und "Strangleitung" wird unten rechts jeweils das Ergebnis zum Druckverlust angegeben. Übersteigt dieser Wert 0,2 bar, wird das Ergebnis ROT hinterlegt um auf diesen Fehler hinzuweisen.</t>
  </si>
  <si>
    <t>Hinweisampel  Fließgeschwindigkeit</t>
  </si>
  <si>
    <t>Auf den Berechnungsblättern "Ringleitung" und "Strangleitung" werden Fließgeschwindigkeit zwischen 1,5  bis 2,0 m/s automatisch ORANGE und Fließgeschwindigkeiten ab 2,0 m/s automatisch ROT hinterlegt. Dies kann als Hinweis und Aufforderung zur Prüfung verstanden werden.</t>
  </si>
  <si>
    <t>MANUAL RAUPEX INDUSTRIAL PIPING SYSTEM</t>
  </si>
  <si>
    <t>PRESSURE LOSS ASSESSMENT IN THE FLOW - FLUID WATER</t>
  </si>
  <si>
    <t xml:space="preserve">The pipe layout can be copied out of other applications, and placed anywhere, on the first three pages, of this calculation tool. Alternatively you can sketch the pipe layout, using single lines. </t>
  </si>
  <si>
    <t>Generate a layout of the flow, marking the pipe sections and consumers.</t>
  </si>
  <si>
    <t>Requirement, if your layout, contains a ring main.</t>
  </si>
  <si>
    <t>As goal post we want to determine the ideal disribution of the volume flow in the ring main, which begins to divide, at point T1, in our example, flowing to the left and right, and unites in the hydraulic zero-point. The hydraulic zero-point could be a t-piece (Tx) or a consumer (Zx), we assume it to be at point T2 and open spreadsheet ring main. Located in the top section rotating anticlockwise, please enter the ring main section R1 and R2 and located in the bottom section, rotating clockwise, please enter the ring main sections R5,R4 and R3. Please only enter the volume flow, per ring pipe section, which finally will be consumed by consumer Zx, or redistributed by T-piece Tx. Top and bottom section both respectively end at point T2. We distribute the volume flow now to the left and to the right at point T2, until both sites of the circular chart match. We now indentified the ideal distribution of the volume flow, in the ring main section, for further calculations.</t>
  </si>
  <si>
    <t>This calculation tool helpd you to calculate the pressure loss, in the flow, of your piping system, which should not exceed 0,2bar. If the return is installed identically your value has to be doubled in order to get the total pressure loss of your piping system, which should not exceed 0,4bar.</t>
  </si>
  <si>
    <t>Should you exceed the required pressure loss of 0,2bar, the pressure loss can be reduced by positioning the HIP,in the centre of the piping system. By supplying consumers, from a central position, various line mains can supply consumers, using the same pipe dimensions, which looking at the hydraulics of the system is often the most sensible solution.</t>
  </si>
  <si>
    <t xml:space="preserve">Color Indicator: pressure loss </t>
  </si>
  <si>
    <t xml:space="preserve">The spread sheets "ring main" and "line main" provide the calculated pressure loss , in the bottom right corner. Should your result exceed 0,2bar, it will be highlighted in RED, to indicate an error. </t>
  </si>
  <si>
    <t>Color Indicator: velocity</t>
  </si>
  <si>
    <t xml:space="preserve">The spread sheets "ring main" and "line main" highlights a velocity, of 1,5 up to 2,0 m/s in ORANGE and a velocity exceeding 2,0m/s automatically in RED. This indication can be understood as the request to check and verify your results. </t>
  </si>
  <si>
    <t>Directory: Optimisation via positioning the HIP</t>
  </si>
  <si>
    <t>Directory: Optimisation via the ring main</t>
  </si>
  <si>
    <t xml:space="preserve">Directory: Optimisation via the pipe dimension </t>
  </si>
  <si>
    <t>Directory: Pipe dimension</t>
  </si>
  <si>
    <t>Directory: Pressure loss &lt; 0,2bar</t>
  </si>
  <si>
    <t>Pressure loss of the hydraulic flow (critical path) in the sample layout.</t>
  </si>
  <si>
    <t>The markings could be chosen, for expample, as:
          Hx = main pipe section
          Rx = Ring main section
          Vx = distribution pipe section
          Zx = consumer (welding robot)
          Tx = T-piece
Per definition a pipe section only indicates a volume flow division or combination at its beginning or end (exceptions please refer to layout H1 and V1). Branch lines to single consumers and relating T-pieces can be marked as required.</t>
  </si>
  <si>
    <t>By using this calculation tool, the REHAU AG+Co,terms of service are accepted. They are available at all times on the attached link:
www.rehau.com/de-de/liefer-und-zahlungsbedingungen</t>
  </si>
  <si>
    <t>Al utilizar esta herramienta de cálculo, se aceptan las condiciones de entrega y pago de REHAU AG + Co. Se pueden consultar en cualquier momento en el siguiente enlace:
www.rehau.com/de-de/liefer-und-zahlungsbedingungen</t>
  </si>
  <si>
    <t>Utilizzando questo strumento di calcolo, vengono accettate le condizioni di consegna e pagamento di REHAU AG + Co. Questi possono essere richiamati in qualsiasi momento al seguente link:
www.rehau.com/de-de/liefer-und-zahlungsbedingungen</t>
  </si>
  <si>
    <t xml:space="preserve">Para contactarnos directamente, encontrará la siguiente dirección, número de teléfono y sitio web:_x000D_
Industrias REHA SA / Pol. Ind. Cami RAl, Miquel Servet 25/ E-08850 Gava / Tel. + 34-936353500 / Departamento de Sistemas de Tuberías Industriales_x000D_, www.rehau.com/de-de/industrierohrsystem </t>
  </si>
  <si>
    <t>Select language</t>
  </si>
  <si>
    <t>Seleccione el idioma</t>
  </si>
  <si>
    <t>Seleziona la lingua</t>
  </si>
  <si>
    <t>Sprache wählen</t>
  </si>
  <si>
    <t>English</t>
  </si>
  <si>
    <t>Español</t>
  </si>
  <si>
    <t>Italiano</t>
  </si>
  <si>
    <t>Deutsch</t>
  </si>
  <si>
    <t>Result:
The total pressure loss in the flow shown is ... bar.</t>
  </si>
  <si>
    <t>... space for further notes.</t>
  </si>
  <si>
    <t>Note: The pipe network sketch can be copied from any other application and inserted on this page.</t>
  </si>
  <si>
    <t>… description of the pipe system</t>
  </si>
  <si>
    <t>Ermittlung hydraulischer Nullpunkt.
(Dieser Schritt ist nur erforderlich, wenn die Anlage eine Ringleitung enthält.)</t>
  </si>
  <si>
    <t>RAUPEX工业管路系统 - 压力损失计算表 (流体: 水)</t>
  </si>
  <si>
    <t>请注意
我们使用条款中的信息</t>
  </si>
  <si>
    <t>有关管道系统的描述……</t>
  </si>
  <si>
    <r>
      <rPr>
        <sz val="9"/>
        <rFont val="宋体"/>
        <family val="3"/>
        <charset val="134"/>
      </rPr>
      <t>结果（示例）</t>
    </r>
    <r>
      <rPr>
        <sz val="9"/>
        <rFont val="Arial"/>
        <family val="2"/>
      </rPr>
      <t xml:space="preserve">:
</t>
    </r>
    <r>
      <rPr>
        <sz val="9"/>
        <rFont val="宋体"/>
        <family val="3"/>
        <charset val="134"/>
      </rPr>
      <t>本次计算管段为供水管，所有供水管计算管段的流体总压力损失为</t>
    </r>
    <r>
      <rPr>
        <sz val="9"/>
        <rFont val="Arial"/>
        <family val="2"/>
      </rPr>
      <t>……bar</t>
    </r>
    <r>
      <rPr>
        <sz val="9"/>
        <rFont val="宋体"/>
        <family val="3"/>
        <charset val="134"/>
      </rPr>
      <t xml:space="preserve">。
</t>
    </r>
  </si>
  <si>
    <t>…其它补充说明。</t>
  </si>
  <si>
    <t>注意: 管网示意图可以从其他任何应用程序复制，再插入本页面。</t>
  </si>
  <si>
    <t>RAUPEX工业管路系统 - 主环路部分 (流体: 水)</t>
  </si>
  <si>
    <t>观察流体：</t>
  </si>
  <si>
    <t>水温:</t>
  </si>
  <si>
    <t>主环路左侧部分</t>
  </si>
  <si>
    <t>主环路右侧部分</t>
  </si>
  <si>
    <t>主要环段</t>
  </si>
  <si>
    <t>主环路，在两个方向上进行流动，直到汇合至理论上定义的压力零点。</t>
  </si>
  <si>
    <t>管段</t>
  </si>
  <si>
    <t>RAUPEX管</t>
  </si>
  <si>
    <t>使用点</t>
  </si>
  <si>
    <t>出口
体积流量</t>
  </si>
  <si>
    <t>管段
总体积流量</t>
  </si>
  <si>
    <t>管道
长度</t>
  </si>
  <si>
    <t>弯头90°</t>
  </si>
  <si>
    <t>弯头45°</t>
  </si>
  <si>
    <t>三通，分支流</t>
  </si>
  <si>
    <t>三通，直通流</t>
  </si>
  <si>
    <t>三通，分流</t>
  </si>
  <si>
    <t>三通，合流</t>
  </si>
  <si>
    <t>变径</t>
  </si>
  <si>
    <t>管道比摩阻</t>
  </si>
  <si>
    <t>雷诺数</t>
  </si>
  <si>
    <t>流速</t>
  </si>
  <si>
    <t>压力损失: 
管件</t>
  </si>
  <si>
    <t>压力损失:
管道</t>
  </si>
  <si>
    <t>压力损失: 
管件+管道</t>
  </si>
  <si>
    <t>累计压力损失</t>
  </si>
  <si>
    <t>如果两侧压力损失相等，则找到了压力零点。</t>
  </si>
  <si>
    <t>平均压力损失[bar]</t>
  </si>
  <si>
    <t>RAUPEX工业管道系统 - 主线部分 (流体: 水)</t>
  </si>
  <si>
    <t>主线部分，可通过查看每段来确定。</t>
  </si>
  <si>
    <t>主线管段</t>
  </si>
  <si>
    <t>可以自行决定哪些值累加在一起，并输出在最后一列。</t>
    <phoneticPr fontId="7" type="noConversion"/>
  </si>
  <si>
    <r>
      <rPr>
        <sz val="9"/>
        <rFont val="宋体"/>
        <family val="3"/>
        <charset val="134"/>
      </rPr>
      <t>请在第一页说明你的结果</t>
    </r>
    <r>
      <rPr>
        <sz val="9"/>
        <rFont val="Arial"/>
        <family val="2"/>
      </rPr>
      <t>:</t>
    </r>
  </si>
  <si>
    <t>使用条款</t>
  </si>
  <si>
    <t>RAUPEX工业管道系统计算工具 (流体: 水)</t>
  </si>
  <si>
    <t>对于流体为水的RAUPEX工业管道系统(SDR11管道)，该计算工具允许您查看压力损失，同时也适用于使用收紧套环连接的系统。
外部组件，非RAUPEX系统，不被此工具所涵盖。
为了观察特定安装形式，例如环形或直线，此计算工具提供了不同的电子表格，用户必须为其特定的应用选择或组合使用这些表格，并由用户全权负责。
显示的结果必须由用户来进一步解释，而整体结果则由用户最后导出。</t>
  </si>
  <si>
    <t>对于特定的工作参数，该计算工具使用了不同的计算公式、常量和变量，这此并不总是可以被调整的。
由此产生的误差通过每一表格计算步骤的累积而进一步放大。表格的解释部分也可能产生进一步的差异或错误。</t>
  </si>
  <si>
    <t>该计算工具得到的只是一个近似的结果。我们无法保证在特定情况下的准确性和适用性。
因此，结果仅供相关专业人员参考，我们不对其负责。</t>
  </si>
  <si>
    <t>当然，我们始终在努力改进这一计算工具。基于此，请您对该工具的实际使用情况进行反馈，我们将不胜感激。该工具的最新版本可通过我们的主页下载，因此请在使用时检查更新情况。</t>
  </si>
  <si>
    <t>本网站/软件内的所有数据均受版权保护，未经权利持有人同意，不得使用。版权所赋予的权利，特别是与翻译、复制、拍照、无线电广播、照相或类似的复制和储存在数据处理设施中有关的权利，将继续保留。</t>
  </si>
  <si>
    <t>使用该计算工具时，您将被视为已经接受REHAU的交货和付款条件。它们可在任何时候通过以下网址获取：
www.rehau.com/de-de/liefer-und-zahlungsbedingungen
如您不同意，请即停止使用该计算工具。</t>
  </si>
  <si>
    <t>RAUPEX工业管道系统计算工具说明</t>
  </si>
  <si>
    <t>适用于流体介质 - 液体水</t>
  </si>
  <si>
    <t>管道布置图可以从其他应用程序复制，并放置在该计算工具前三页的任何地方。您也可以使用单线条自行绘制管道布置图。
注意：示例为单个供水管，回水管需要另行计算。</t>
  </si>
  <si>
    <t>生成一个水流的分布图，并标注出各管段及使用点。</t>
  </si>
  <si>
    <t>可以使用各种标记来标注，例如：
　　Hx =主要管段
　　Rx =环路的主要管段
　　Vx =支管段
　　Zx =使用点(焊接机器人)
　　Tx =三通
　　每个定义的管段仅标示出分支的体积流量，或者它的头部或尾部的总量(请特别请参阅示例布局中的H1和V1)。供应单一使用点的支线以及相应三通可根据需要进行标注。</t>
  </si>
  <si>
    <t>仅当您的布置图中含有环路时才需要此步骤。</t>
  </si>
  <si>
    <t>我们现在的目标是确定环线中体积流量的分流分布。在我们的例子中，环线在T1处分成了左右两部分。从环线的左侧到右侧，起点和终点的压力分别相等 ，形成了压力零点。压力零点可以是三通Tx或使用点Zx，这里我们假设为T2点，这样我们就能打开环线。在表格的上半部分，输入环的左侧主要环段R1和R2，在表格的下半部分，输入环的右侧主要环段R5, R4和R3。对于每个管段，仅输入最终由使用点Zx提取或在T件Tx处汇总的体积流量。表格上下两部分分别在在T2点结束。我们现在将T2点的的体积流量分配给左侧和右侧的T2，直到圆形饼图的两半大小相等为止。现在我们知道了环线中体积流量的理想分布，以便下一步计算。</t>
  </si>
  <si>
    <t>示例中的(最不利路径)水流压力损失。</t>
  </si>
  <si>
    <t>目录: 压力损失&lt; 0.2bar</t>
  </si>
  <si>
    <t>该计算工具可以帮助您计算压力损失。在您的管道系统中，供水管压力损失不应超过0.2bar。如果回水管情况相同，计算得到的压力损失值应当翻倍，这样才能使得管道系统供、回水管道的总压力损失不超过0.4bar。</t>
  </si>
  <si>
    <t>目录: 管道尺寸</t>
  </si>
  <si>
    <t>目录: 通过管道尺寸进行优化</t>
  </si>
  <si>
    <t>如果计算结果超过允许的压力损失0.2Bar，你可以从HIP开始，一段一段地考虑通过增大管道尺寸来减少管道内的流速，从而实现减少压力损失的目的。
增大管道尺寸后需要更多的安装空间并需要得到项目负责人的批准。</t>
  </si>
  <si>
    <t>目录: 通过主环路进行优化</t>
  </si>
  <si>
    <t>如果计算结果超过允许的压力损失0.2Bar，你可以通过分流、缩短路径、创建环路、引出多个主管等方式，减少管道中的流量。同样地，这需要更多的安装空间并需要得到项目负责人的批准。</t>
  </si>
  <si>
    <t>目录: 通过重新定位HIP来进行优化</t>
  </si>
  <si>
    <t>如果计算结果超过允许的压力损失0.2Bar，你可以通过将HIP重新定位于管道系统中央的方法来减少压力损失。此时供应给使用点时，从中央位置可以分出多个主管道来供水，这样仍可以使用相同的管径，并且这种方式通常来说更加合理。</t>
  </si>
  <si>
    <t>颜色提示: 压力损失</t>
  </si>
  <si>
    <t>在计算表“主环路部分”和“主线部分”的右下角，均提供了压力损失总计值。如果它们的值超过了0.2 bar，它们将被标记为红色，以提示错误。</t>
  </si>
  <si>
    <t>颜色提示: 流速</t>
  </si>
  <si>
    <t>在计算表“主环路部分”和“主线部分”中，如果流速介于1.5至2.0m/s之间，它们将以橙色标记；如果流速超过 2.0 m/s，它们将以红色标记。这样可以提示这些数值需要检查并校核是否符合要求。</t>
  </si>
  <si>
    <t>语言</t>
  </si>
  <si>
    <t>Chinese</t>
  </si>
  <si>
    <t>Wird der geforderte Druckverlust &lt; 0,2 bar überschritten, kann durch Vergößerung der Dimension der ersten Rohrabschnitte von der HIP ausgehend die Fließgeschwindigkeit und damit der Druckverlust wieder reduziert werden.</t>
  </si>
  <si>
    <t>Should you exceed the required pressure loss of 0,2bar, you can minimize the flow velocity an hereby the pressure loss by upsizing your pipe dimension, pipe section by pipe section, starting from the HIP.</t>
  </si>
  <si>
    <t>Wird der geforderte Druckverlust &lt; 0,2 bar überschritten, kann häufig durch zusätzliche Ergänzung eines Ringleitungsschluss der Volumenstrom geteilt und der Druckverlust wieder reduziert werden.</t>
  </si>
  <si>
    <t>Should you exceed the required pressure loss of 0,2bar, the volume flow can be divided and the pressure loss reduced, by short circuiting, and therefore creating a ring main, out of several line mains.</t>
  </si>
  <si>
    <t>Wird der geforderte Druckverlust &lt; 0,2 bar überschritten, kann durch Positionsänderung der HIP im Mittelfeld der Rohrleitungsanlage der Druckverlust wieder reduziert werden. Von dieser Position aus können mehrere Stränge die Verbraucher bedienen, was bei gleicher Rohrdimension häufig hydraulisch sinnvoller ist.</t>
  </si>
  <si>
    <t>Risultato:
La perdita di carico totale in mandata è data da … bar.</t>
  </si>
  <si>
    <t>… spazio per altre notizie.</t>
  </si>
  <si>
    <t>Istruzioni: Lo schema della rete di tubazioni può essere da qualsiasi altra applicazione ed incollato in questa pagina.</t>
  </si>
  <si>
    <t>Valutazione Mandata</t>
  </si>
  <si>
    <t>CIRCUITO ANELLO DI SX</t>
  </si>
  <si>
    <t>CIRCUITO ANELLO DI DX</t>
  </si>
  <si>
    <t>L'utente decide quali valori devono essere aggiunti alla fine delle colonne.</t>
  </si>
  <si>
    <t>Interpreta il tuo risultato sulla prima pagina:</t>
  </si>
  <si>
    <t>VALUTAZIONE PERDITA DI CARICO IN MANDATA (FLUIDO ACQUA)</t>
  </si>
  <si>
    <t>Lo schema della rete di tubazioni può essere copiato da qualsiasi altra applicazione e incollato nello foglio di calcolo nelle prime tre pagine.
In alternativa, è possibile creare lo schema della rete di condotte utilizzando singole linee da excel.</t>
  </si>
  <si>
    <t>Crea uno schema  partendo dalla mandata, ed indica/quota ogni singolo tratto ed utilizzatore.</t>
  </si>
  <si>
    <t>Le quote possono essere scelte come segue:
           Hx sezione della linea principale
           Sezione anello Rx
           Vx sezione della linea di distribuzione
           Utilizzatore per consumo (saldatura) Zx
           Tx pezzo a T.
Una sezione di linea è definita dal fatto, che mostra solo una divisione della portata volumetrica o l'unione all'inizio e alla fine (eccezioni, vedere gli schizzi H1 e V1). Se necessario, è possibile contrassegnare le diramazioni per il singolo consumatore e i relativi pezzi a T.</t>
  </si>
  <si>
    <t>Questo passaggio è necessario solo se il sistema contiene un circuito ad anello.</t>
  </si>
  <si>
    <t>Come obiettivo intermedio, ora vogliamo determinare la distribuzione ideale delle portate volumetriche nel linea dell'anello, che nel nostro esempio inizia da T1 e si divide a destra e a sinistra e lo combina di nuovo nel punto zero idraulico. Il punto zero idraulico può essere una Tx T-pezzo o una Zx utilizzatore, assumiamo il punto T2 e apriamo il foglio della tabella della linea dell'anello.
Ora inserisci le sezioni del loop di sinistra R1 e R2 nel campo superiore e le sezioni del'anello di destra R5, R4 e R3 nella casella inferiore. Immettere la portata solo per ciascuna sezione della linea dell'anello, che alla fine viene accettata dall'utilizzatore Zx o rilasciata sul raccordo a T Tx. A nostro avviso, il campo superiore e quello inferiore terminano nel punto T2. Ora distribuiamo il flusso del volume a destra e sinistra nel punto T2 fino a quando le sezioni nel grafico a torta hanno le stesse dimensioni, uguali. Ora conosciamo la distribuzione ideale della portata nel circuito ad anello per ulteriori calcoli.</t>
  </si>
  <si>
    <t>Perdita di carico in mandata (percorso critico) del sistema di esempio.</t>
  </si>
  <si>
    <t>Regola perdita di carico &lt;0,2bar</t>
  </si>
  <si>
    <t>Questo strumento di calcolo calcola solo la perdita di carico solo nella rete del sistema di tubazioni, che di conseguenza deve essere &lt;0,2 bar. Se il ritorno viene eseguito in modo identico, questo valore può essere raddoppiato al fine di dedurre la perdita di pressione totale del sistema rete tubazioni, che di conseguenza deve essere &lt;0,4 bar.</t>
  </si>
  <si>
    <t>Regola dimensione tubo</t>
  </si>
  <si>
    <t>Regola per l'ottimizzazione mediante la selezione della dimensione/diametro.</t>
  </si>
  <si>
    <t>Se viene superata la perdita di carico richiesta &lt;0,2 bar, la portata e quindi la perdita di carcio e possono essere nuovamente ridotte aumentando il diametro del tubo nelle prime sezioni a partire dall'HIP. Per questo, lo spazio spaziale e il consenso nel progetto devono essere disponibili.</t>
  </si>
  <si>
    <t>Regola per l'ottimizzazione utilizzando una linea ad anello</t>
  </si>
  <si>
    <t>Se viene superata la perdita di carico richiesta &lt;0,2 bar, la portata può spesso essere suddivisa e la perdita di carcio e può essere nuovamente ridotta aggiungendo una connessione ad anello. Per questo, lo spazio e l'approvazione devono essere disponibili nel progetto.</t>
  </si>
  <si>
    <t>Regola per l'ottimizzazione utilizzando la posizione dell'HIP</t>
  </si>
  <si>
    <t>Se viene superata la perdita di carico richiesta &lt;0,2 bar, la perdita di carico può essere nuovamente ridotta modificando la posizione dell'HIP  del sistema rete di tubazioni. Da questa posizione, diverse stringhe possono servire i consumatori, il che è spesso più sensato idraulicamente per la stessa dimensione del tubo. Per questo, lo spazio e l'approvazione devono essere disponibili nel progetto.</t>
  </si>
  <si>
    <t>Istruzione semafori perdita di carico</t>
  </si>
  <si>
    <t>Il risultato della perdita di carico è mostrato in basso a destra nei fogli di calcolo "Anello" e "Derivazione". Se questo valore supera 0,2 bar, il risultato viene evidenziato in ROSSO per indicare questo errore.</t>
  </si>
  <si>
    <t>Istruzione semafori velocità</t>
  </si>
  <si>
    <t>Le velocità di flusso tra 1,5 e 2,0 m/s sono automaticamente ARANCIONE e le velocità di flusso oltre 2,0 m/s sono automaticamente evidenziate  in ROSSO sui fogli di calcolo "Circuito ad anello" e "Circuito in Derivazione". Questo può essere inteso come un suggerimento e una richiesta di valutazione.</t>
  </si>
  <si>
    <t>STRUMENTO DI CALCOLO MANUALE SISTEMA TUBI INDUSTRIALI RAUPEX</t>
  </si>
  <si>
    <t>Resultado:
La pérdida total de carga en la impulsion viene dada por ... bar.</t>
  </si>
  <si>
    <t>... espacio para más comentarios.</t>
  </si>
  <si>
    <t>Nota: El esquema de red de tuberías puede ser incluido de otras aplicaciones y pegarse en esta página.</t>
  </si>
  <si>
    <t>Sistema en anillo izq.</t>
  </si>
  <si>
    <t>Sistema en anillo dcha.</t>
  </si>
  <si>
    <t>El usuario decide qué valores deben agregarse al final de las columnas.</t>
  </si>
  <si>
    <t>Interpreta tu resultado en la primera página:</t>
  </si>
  <si>
    <t>VISTA PERDIDA DE CARGA EN IMPULSION - FLUIDO AGUA</t>
  </si>
  <si>
    <t>El esquema de red de tuberías se puede copiar desde cualquier otra aplicación y pegar en la hoja de cálculo en las primeras tres páginas._x000D_
Alternativamente, el esquema de red de tuberías puede crearse utilizando líneas individuales de Excel .</t>
  </si>
  <si>
    <t>La etiqueta se puede seleccionar de la siguiente manera:_x000D_
          Hx =Seccion prinicpal red
          Rx =Seccion anillo
          Vx = Seccion distribucion 
          Zx = consumidor (pinza de soldadura)
          Tx = Pieza en T
Una sección de tuberia se define por el hecho de que solo muestra una división o fusión de flujo de volumen al principio y al final (las excepciones se muestran en el esquema H1 y V1). Las derivaciones al consumidor individual y sus piezas en T se pueden marcar si es necesario.</t>
  </si>
  <si>
    <t>Este paso solo es necesario si el sistema contiene una sistema en anillo.</t>
  </si>
  <si>
    <t>Pérdida de presión del flujo hidráulico (ruta crítica) en el diseño de ejemplo.</t>
  </si>
  <si>
    <t>Mandatorio: perdida de preion &lt; 0,2bar</t>
  </si>
  <si>
    <t>Esta herramienta de cálculo ayuda a calcular la pérdida de presión, en el flujo, de su sistema de tuberías, que no debe exceder los 0,2 bar. Si el retorno se instala de manera idéntica, su valor debe duplicarse para obtener la pérdida de presión total del sistema de tuberías, que no debe exceder los 0,4 bar.</t>
  </si>
  <si>
    <t>Mandatorio: dimension tubo</t>
  </si>
  <si>
    <t xml:space="preserve">Mandatorio: optimización mediante selección de dimensiones </t>
  </si>
  <si>
    <t>Si se excede la pérdida de presión requerida &lt;0.2 bar, la velocidad de flujo y, por lo tanto, la pérdida de presión se pueden reducir nuevamente aumentando la dimensión de las primeras secciones de tubería desde el HIP. Para esto, el espacio espacial y el consentimiento en el proyecto deben estar disponibles.</t>
  </si>
  <si>
    <t>Regla para la optimización usandoun sistema en anillo</t>
  </si>
  <si>
    <t>Si se excede la pérdida de presión requerida &lt;0.2 bar, el flujo de volumen a menudo se puede dividir y la pérdida de presión se reduce nuevamente agregando una conexión de línea de anillo. Para esto, el espacio espacial y la aprobación deben estar disponibles en el proyecto.</t>
  </si>
  <si>
    <t>Regla para la optimización utilizando la posición del HIP</t>
  </si>
  <si>
    <t>Si se excede la pérdida de presión requerida &lt;0.2 bar, la pérdida de presión se puede reducir nuevamente cambiando la posición del HIP en el medio del sistema de tuberías. Desde esta posición, varias cadenas pueden servir a los consumidores, que a menudo es más sensible hidráulicamente para la misma dimensión de tubería. Para esto, el espacio espacial y la aprobación deben estar disponibles en el proyecto.</t>
  </si>
  <si>
    <t>Semáforo_x000D_
Pérdida de carga</t>
  </si>
  <si>
    <t>El resultado de la pérdida de presión se muestra en la esquina inferior derecha de las hojas de cálculo "Sistema en anillo" y "sistema en serie". Si este valor excede 0.2 bar, el resultado se almacena en ROJO para indicar este error.</t>
  </si>
  <si>
    <t>Semaforo velocidad caudal</t>
  </si>
  <si>
    <t>Las velocidades del caudal entre 1.5 y 2.0 m / s son automáticamente NARANJA y las velocidades de flujo desde 2.0 m / s se almacenan automáticamente en ROJO en las hojas de cálculo "sistema de anillo" y "sistema en serie". Esto puede entenderse como una advertencia y solicitud de examen.</t>
  </si>
  <si>
    <t>Cree un esquema a partir de la impulsion  y etiqueta secciones y consumidores.</t>
  </si>
  <si>
    <t>Como objetivo intermedio, queremos determinar la distribución ideal del flujo de volumen para sistema en anillo, que en nuestro ejemplo comienza en T1 y se divide hacia la derecha e izquierda y se une nuevamente en el punto cero hidráulico. El punto cero hidráulico puede ser una pieza en T Tx o un consumidor Zx , sospechamos el punto T2 y abrimos la hoja de calculo del sistema en anillo. Ubicado en la sección superior que gira en sentido contrario al reloj, ingrese la sección principal del anillo R1 y R2 y ubicado en la sección inferior, que gira en sentido del reloj, ingrese las secciones principales del anillo R5, R4 y R3. Ingrese solo el flujo de volumen, por sección de tubería de anillo, que finalmente será consumido por el consumidor Zx, o redistribuido porPieza en T Tx. La sección superior y la inferior, ambas terminan en el punto T2 Distribuimos el flujo de volumen ahora a la izquierda y a la derecha en el punto T2, hasta que ambos sitios del gráfico circular coincidan. Ahora identificamos la distribución ideal del flujo de volumen, en la sección principal del anillo, para realizar más cálculos.</t>
  </si>
  <si>
    <t>INSTRUCCIÓN CÁLCULO SISTEMA DE TUBERÍAS INDUSTRIALES RAUPEX</t>
  </si>
  <si>
    <t>REHAU AG+Co</t>
  </si>
  <si>
    <t>Rohrabschnitt</t>
  </si>
  <si>
    <t>Stichleitung zu Z3</t>
  </si>
  <si>
    <t>Beispielanlage für den hydraulischen Vorlauf. 
Beginnend nehmen wir eine durchgehende Rohrdimension von 32 x 2,9 mm an.</t>
  </si>
  <si>
    <t>Sample layout of the hydraulic flow. Starting with a continuous pipe dimension of 32 x 2,9 mm.</t>
  </si>
  <si>
    <t>Ejemplo de circuito hidráulico para impulsion._x000D_
Inicios con un diámetro de tubo, continuo de diámetro 32x2,9 mm.</t>
  </si>
  <si>
    <t>Esempio circuito idraulico in mandata.
Iniziamo con un diametro del tubo, continuo, diametro 32x2,9 mm.</t>
  </si>
  <si>
    <t>水力布局示例。
使用32 x 2,9管道进行连续计算。</t>
  </si>
  <si>
    <t>从起始点开始，我们正试图确定压力损失最高的使用点(参考最不利路径)。在我们的示例布局中，我们可以假设它是HIP和Z5使用点之间的管段。最不利路径并不总是显而易见的。通常最不利路径包含最多的使用点和/或最长的管段部分。最不利路径可以穿越主环路，这也是为什么我们会计算主环路的原因。现在我们可以打开主环路进行计算。
我们现在来考虑管段H1、H2、R1、R2、Z3。对于每个管段，请只输入体积流量，对于环路部分，请输入最终需要考虑的用户点或者重新分配过的三通Tx。
为了考虑分配管段V1，应当在空一行后再输入相应的值。
最后确定流体的压力损失。
请注意我们的使用条款!</t>
  </si>
  <si>
    <t>Für die erste Berechnung ist eine durchgehende Rohrdimension von 32x2,9 mm anzunehmen. Stellt sich der geforderte Druckverlust &lt; 0,2 bar ein, sind häufig keine weiteren Optimierungen erforderlich. Wird dieser Druckverlust überschritten, können folgende Optimierungen eine Lösungen darstellen.</t>
  </si>
  <si>
    <t>You are starting your calculations with the continuous pipe dimension of 32 x 2,9 mm. If you calculations result in the required pressure loss not exceeding 0,2bar, often no addtional optimisations are necessary. Should you exceed the required pressure loss, the following optimisation measures could present a soultion.</t>
  </si>
  <si>
    <t>Se debe asumir una dimensión de tubería continua de 32x2,9 mm para el primer cálculo. Si la pérdida de presión requerida es &lt;0.2 bar, a menudo no se necesitan más optimizaciones. Si se supera esta pérdida de presión, las siguientes optimizaciones pueden ser una solución.</t>
  </si>
  <si>
    <t>Per un primo calcolo è necessario assumere un diametro del tubo continuo di 32x2,9 mm. Se la perdita di carico richiesta è &lt;0,2 bar, spesso non sono necessarie ulteriori ottimizzazioni. Se questa perdita di pressione viene superata, le seguenti ottimizzazioni possono essere una soluzione.</t>
  </si>
  <si>
    <t>你在使用32 x 2,9管道进行连续计算时，如果你计算出来的压力损失不超过允许的0.2Bar，那么通常不需要对管道进行额外优化。如果超出所要求的压力损失，那么可以考虑采取以下的优化措施。</t>
  </si>
  <si>
    <t>Vom Einspeisepunkt ausgehend, suchen wir nun den Verbraucher mit dem größten Druckverlust (auch kritischer Pfad genannt). In unserem Beispiel können wir die Rohrleitungsstrecke zwischen HIP und Z3 annehmen.
Dieser Rohrleitungsweg ist nicht immer gleich erkennbar. Häufig enthält dieser die größte Anzahl Verbraucher und/oder längsten Rohrleitungsweg. Auch kann dieser Weg durch Abschnitte einer Ringleitung führen, deshalb wurde die Ringleitung bereits berechnet. Wir öffnen das Tabellenblatt Strangleitung.
Nun tragen wir die Rohrleitungsabschnitte H1, H2, R1 und R2 bis Z3 in die Felder ein. Für jeden Rohrleitungsabschnitt immer nur den Volumenstrom eingeben, welcher am Ende vom Verbraucher Zx abgenommen oder am T-Stück Tx abgegeben wird. Um die Verteilleitung V1 zu berücksichtigen, muss diese nach einer Leerzeile separat erfasst werden. Der Druckverlust im hydraulischen Vorlauf ist ermittelt. Bitte bachten Sie hierzu auch die Hinweise in den Nutzungsbedingungen!</t>
  </si>
  <si>
    <t>Starting from the supply point, we are trying to determine the consumer with the highest pressure loss (refered to as critical path). In our sample layout we can assume it to be the pipe section between the HIP and point Z3.The critical path is not always obvious.Often the critical path contains the highest number of consumers and/or the longest piping section. The critical part can cross parts of a ring main, that´s the reason the ring main has been calculated already.We now open the spread sheet line main. We enter pipe sections H1, H2, R1 and R2 to Z3. Please only enter the volume flow, per ring pipe section, which finally will be consumed by consumer Zx, or redistributed by T-piece Tx. To include the distribution pipe section V1, the value has to be entered separately after leaving a blank line. The pressure loss of the hydraulic flow is determined. Please note our terms of use!</t>
  </si>
  <si>
    <t>Comenzando desde el punto de suministro, estamos tratando de determinar el consumidor con la mayor pérdida de presión (referido como ruta crítica). En nuestro diseño de muestra, podemos suponer que es la sección de tubería entre el HIP y el punto Z3. La ruta crítica no siempre es obvia. A menudo, la ruta crítica contiene el mayor número de consumidores y / o la sección de tubería más larga. La parte crítica puede cruzar partes de un anillo principal, esa es la razón por la cual el anillo principal ya se ha calculado. Ahora abrimos la línea principal de la hoja de cálculo. Entramos en las secciones de tubería H1, H2, R1 y R2 a Z3. Ingrese solo el flujo de volumen, por sección de tubería de anillo, que finalmente será consumido por el consumidor Zx, o redistribuido por pieza en T Tx. Para incluir la sección de tubería de distribución V1, el valor debe ingresarse por separado después de dejar una línea en blanco. Se determina la pérdida de presión del flujo hidráulico. ¡Tenga en cuenta nuestros términos de uso!</t>
  </si>
  <si>
    <t>A partire dal punto di ingresso, ora stiamo cercando l'utilizzatore con la maggiore perdita di carico e (detto anche percorso critico). Nel nostro esempio, possiamo ipotizzare il percorso della rete tra HIP e Z3.
Questo percorso della rete non è sempre immediatamente identificabile. Spesso questo contiene il maggior numero di consumatori e / o il percorso più lungo della rete. Questo percorso può anche condurre attraverso sezioni di un anello, motivo per cui l'anello  è già stato calcolato. Apriamo il foglio di lavoro della linea di rete.
Ora inseriamo le sezioni di tubo H1, H2, R1 e da R2 a Z3 nei campi. Immettere solo portata volumetrica per ciascuna sezione della circuito/rete, che alla fine viene accettata dall'utilizzatore Zx o consegnata al raccordo a T Tx. Per tenere conto della linea di distribuzione V1, deve essere inserita separatamente dopo una linea vuota. Viene determinata la perdita di carico in mandata. Si prega di notare anche le informazioni ed i termini di utilizzo!</t>
  </si>
  <si>
    <t>Für den direkten Kontakt zu uns finden Sie folgend Anschrift, Telefonnummer und Webseite:
REHAU Industries SE &amp; Co. KG, Ytterbium 4, D-91058 Erlangen / Tel. +49-9131-92-0 / Abteilung Industrierohrsysteme
www.rehau.com/de-de/industrierohrsystem</t>
  </si>
  <si>
    <t xml:space="preserve">To contact us please find the attached contact details: REHAU Industries SE &amp; Co. KG, Ytterbium 4, D-91058 Erlangen / Tel. +49-9131-92-0 Business Team Industrial Piping Systems
www.rehau.com/de-de/industrierohrsystem </t>
  </si>
  <si>
    <t>Per il contatto diretto con noi troverete il seguente indirizzo, numero di telefono e sito Web: REHAU Industries SE &amp; Co. KG, Ytterbium 4, D-91058 Erlangen / Tel. +49-9131-92-0 Dipartimento di sistemi di tubazioni industriali
www.rehau.com/de-de/industrierohrsystem</t>
  </si>
  <si>
    <t xml:space="preserve">如需直接与我们联系，请参考以下联系方式： 
REHAU Industries SE &amp; Co. KG, Ytterbium 4, D-91058 Erlangen / Tel. +49-9131-92-0 Business Team Industrial Piping Systems
网址：www.rehau.com/de-de/industrierohrsystem </t>
  </si>
  <si>
    <t>Information</t>
  </si>
  <si>
    <t>.</t>
  </si>
  <si>
    <t>Project description</t>
  </si>
  <si>
    <t xml:space="preserve">Version 02/2025          </t>
  </si>
  <si>
    <t>Gesamtdruckverlust im Vorlauf &lt;</t>
  </si>
  <si>
    <t>Total pressure loss, flow &lt;</t>
  </si>
  <si>
    <t>Perdida de carga tota en ida &lt;</t>
  </si>
  <si>
    <t>Perdita di carico totale in mandata &lt;</t>
  </si>
  <si>
    <t>流体总压力损失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</si>
</sst>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_D_M_-;\-* #,##0.00\ _D_M_-;_-* &quot;-&quot;??\ _D_M_-;_-@_-"/>
    <numFmt numFmtId="165" formatCode="0.000"/>
    <numFmt numFmtId="166" formatCode="0.00000000"/>
    <numFmt numFmtId="167" formatCode="General\ &quot;°C&quot;"/>
    <numFmt numFmtId="168" formatCode="General\ &quot;bar&quot;"/>
    <numFmt numFmtId="169" formatCode="0.0"/>
    <numFmt numFmtId="170" formatCode="0.0\ &quot;kg/m3&quot;"/>
    <numFmt numFmtId="171" formatCode="_-* #,##0.0000\ _D_M_-;\-* #,##0.0000\ _D_M_-;_-* &quot;-&quot;??\ _D_M_-;_-@_-"/>
    <numFmt numFmtId="172" formatCode="_-* #,##0.000\ _D_M_-;\-* #,##0.000\ _D_M_-;_-* &quot;-&quot;??\ _D_M_-;_-@_-"/>
    <numFmt numFmtId="173" formatCode="_-* #,##0.0\ _D_M_-;\-* #,##0.0\ _D_M_-;_-* &quot;-&quot;??\ _D_M_-;_-@_-"/>
    <numFmt numFmtId="174" formatCode="_-* #,##0.00000\ _D_M_-;\-* #,##0.00000\ _D_M_-;_-* &quot;-&quot;??\ _D_M_-;_-@_-"/>
    <numFmt numFmtId="175" formatCode="_-* #,##0.0000000\ _D_M_-;\-* #,##0.0000000\ _D_M_-;_-* &quot;-&quot;??\ _D_M_-;_-@_-"/>
    <numFmt numFmtId="176" formatCode="_-* #,##0.000000\ _D_M_-;\-* #,##0.000000\ _D_M_-;_-* &quot;-&quot;??\ _D_M_-;_-@_-"/>
    <numFmt numFmtId="177" formatCode="&quot;RAUPEX / SDR &quot;0.0"/>
    <numFmt numFmtId="178" formatCode="0.0E+00"/>
    <numFmt numFmtId="179" formatCode="0.0000000"/>
    <numFmt numFmtId="180" formatCode="0\ &quot;[Pa]&quot;"/>
    <numFmt numFmtId="181" formatCode="0.00\ &quot;[bar]&quot;"/>
  </numFmts>
  <fonts count="36">
    <font>
      <sz val="10"/>
      <name val="Arial"/>
    </font>
    <font>
      <sz val="10"/>
      <name val="Arial"/>
      <family val="2"/>
    </font>
    <font>
      <sz val="12"/>
      <name val="Arial"/>
      <family val="2"/>
    </font>
    <font>
      <b/>
      <sz val="10"/>
      <name val="Arial"/>
      <family val="2"/>
    </font>
    <font>
      <b/>
      <sz val="10"/>
      <name val="Arial"/>
      <family val="2"/>
    </font>
    <font>
      <sz val="10"/>
      <color theme="1"/>
      <name val="Arial"/>
      <family val="2"/>
    </font>
    <font>
      <b/>
      <sz val="14"/>
      <color theme="1"/>
      <name val="Arial"/>
      <family val="2"/>
    </font>
    <font>
      <b/>
      <i/>
      <sz val="10"/>
      <color theme="1"/>
      <name val="Arial"/>
      <family val="2"/>
    </font>
    <font>
      <b/>
      <sz val="10"/>
      <color theme="1"/>
      <name val="Arial"/>
      <family val="2"/>
    </font>
    <font>
      <sz val="10"/>
      <color theme="1"/>
      <name val="UniversalMath1 BT"/>
      <family val="1"/>
      <charset val="2"/>
    </font>
    <font>
      <vertAlign val="superscript"/>
      <sz val="10"/>
      <color theme="1"/>
      <name val="Arial"/>
      <family val="2"/>
    </font>
    <font>
      <b/>
      <sz val="10"/>
      <color theme="1"/>
      <name val="UniversalMath1 BT"/>
      <family val="1"/>
      <charset val="2"/>
    </font>
    <font>
      <b/>
      <sz val="16"/>
      <color theme="1"/>
      <name val="Arial"/>
      <family val="2"/>
    </font>
    <font>
      <b/>
      <sz val="11"/>
      <name val="Verdana"/>
      <family val="2"/>
    </font>
    <font>
      <sz val="8"/>
      <color theme="1"/>
      <name val="Arial"/>
      <family val="2"/>
    </font>
    <font>
      <sz val="9"/>
      <color theme="1"/>
      <name val="Arial"/>
      <family val="2"/>
    </font>
    <font>
      <u/>
      <sz val="10"/>
      <name val="Arial"/>
      <family val="2"/>
    </font>
    <font>
      <u/>
      <sz val="10"/>
      <color theme="10"/>
      <name val="Arial"/>
      <family val="2"/>
    </font>
    <font>
      <b/>
      <sz val="16"/>
      <color rgb="FF000000"/>
      <name val="Arial Narrow"/>
      <family val="2"/>
    </font>
    <font>
      <sz val="16"/>
      <name val="Arial"/>
      <family val="2"/>
    </font>
    <font>
      <sz val="16"/>
      <color rgb="FF000000"/>
      <name val="Arial Narrow"/>
      <family val="2"/>
    </font>
    <font>
      <u/>
      <sz val="16"/>
      <color theme="10"/>
      <name val="Arial"/>
      <family val="2"/>
    </font>
    <font>
      <b/>
      <sz val="16"/>
      <name val="Arial Narrow"/>
      <family val="2"/>
    </font>
    <font>
      <sz val="16"/>
      <name val="Arial Narrow"/>
      <family val="2"/>
    </font>
    <font>
      <sz val="10"/>
      <color theme="0"/>
      <name val="Arial"/>
      <family val="2"/>
    </font>
    <font>
      <sz val="12"/>
      <color theme="1"/>
      <name val="Arial"/>
      <family val="2"/>
    </font>
    <font>
      <sz val="22"/>
      <name val="Arial"/>
      <family val="2"/>
    </font>
    <font>
      <b/>
      <sz val="26"/>
      <name val="Arial"/>
      <family val="2"/>
    </font>
    <font>
      <b/>
      <sz val="16"/>
      <name val="Arial"/>
      <family val="2"/>
    </font>
    <font>
      <sz val="9"/>
      <name val="Arial"/>
      <family val="2"/>
    </font>
    <font>
      <sz val="9"/>
      <color rgb="FF000000"/>
      <name val="Arial"/>
      <family val="2"/>
    </font>
    <font>
      <b/>
      <sz val="9"/>
      <name val="Arial"/>
      <family val="2"/>
    </font>
    <font>
      <b/>
      <sz val="14"/>
      <name val="Arial"/>
      <family val="2"/>
    </font>
    <font>
      <sz val="9"/>
      <name val="宋体"/>
      <family val="3"/>
      <charset val="134"/>
    </font>
    <font>
      <b/>
      <sz val="24"/>
      <name val="Arial"/>
      <family val="2"/>
    </font>
    <font>
      <b/>
      <sz val="22"/>
      <name val="Arial"/>
      <family val="2"/>
    </font>
  </fonts>
  <fills count="7">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indexed="64"/>
      </left>
      <right style="thin">
        <color indexed="64"/>
      </right>
      <top style="thin">
        <color indexed="64"/>
      </top>
      <bottom style="thick">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s>
  <cellStyleXfs count="4">
    <xf numFmtId="0" fontId="0" fillId="0" borderId="0"/>
    <xf numFmtId="164" fontId="1" fillId="0" borderId="0" applyFont="0" applyFill="0" applyBorder="0" applyAlignment="0" applyProtection="0"/>
    <xf numFmtId="0" fontId="1" fillId="0" borderId="0"/>
    <xf numFmtId="0" fontId="17" fillId="0" borderId="0" applyNumberFormat="0" applyFill="0" applyBorder="0" applyAlignment="0" applyProtection="0"/>
  </cellStyleXfs>
  <cellXfs count="286">
    <xf numFmtId="0" fontId="0" fillId="0" borderId="0" xfId="0"/>
    <xf numFmtId="0" fontId="0" fillId="0" borderId="0" xfId="0" applyProtection="1">
      <protection hidden="1"/>
    </xf>
    <xf numFmtId="0" fontId="0" fillId="0" borderId="1" xfId="0" applyBorder="1" applyAlignment="1" applyProtection="1">
      <alignment horizontal="center"/>
      <protection hidden="1"/>
    </xf>
    <xf numFmtId="0" fontId="0" fillId="0" borderId="2" xfId="0" applyBorder="1" applyProtection="1">
      <protection hidden="1"/>
    </xf>
    <xf numFmtId="0" fontId="0" fillId="0" borderId="3" xfId="0" applyBorder="1" applyAlignment="1" applyProtection="1">
      <alignment horizontal="center"/>
      <protection hidden="1"/>
    </xf>
    <xf numFmtId="167" fontId="0" fillId="0" borderId="3" xfId="0" applyNumberFormat="1"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Protection="1">
      <protection hidden="1"/>
    </xf>
    <xf numFmtId="168" fontId="0" fillId="0" borderId="3" xfId="0" applyNumberFormat="1" applyBorder="1" applyAlignment="1" applyProtection="1">
      <alignment horizontal="center"/>
      <protection hidden="1"/>
    </xf>
    <xf numFmtId="0" fontId="0" fillId="0" borderId="6" xfId="0" applyBorder="1" applyAlignment="1" applyProtection="1">
      <alignment horizontal="center"/>
      <protection hidden="1"/>
    </xf>
    <xf numFmtId="166" fontId="0" fillId="0" borderId="7" xfId="0" applyNumberFormat="1" applyBorder="1" applyProtection="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8" fillId="0" borderId="0" xfId="0" applyFont="1" applyAlignment="1" applyProtection="1">
      <alignment horizontal="center" vertical="center"/>
      <protection hidden="1"/>
    </xf>
    <xf numFmtId="0" fontId="5" fillId="0" borderId="3" xfId="0" applyFont="1" applyBorder="1" applyAlignment="1" applyProtection="1">
      <alignment horizontal="center" vertical="center"/>
      <protection hidden="1"/>
    </xf>
    <xf numFmtId="1" fontId="5" fillId="0" borderId="10" xfId="0" applyNumberFormat="1" applyFont="1" applyBorder="1" applyAlignment="1" applyProtection="1">
      <alignment horizontal="center" vertical="center"/>
      <protection hidden="1"/>
    </xf>
    <xf numFmtId="1" fontId="5" fillId="0" borderId="3" xfId="0" applyNumberFormat="1" applyFont="1" applyBorder="1" applyAlignment="1" applyProtection="1">
      <alignment horizontal="center" vertical="center"/>
      <protection hidden="1"/>
    </xf>
    <xf numFmtId="2" fontId="5" fillId="0" borderId="3" xfId="0" applyNumberFormat="1"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169" fontId="5" fillId="0" borderId="3" xfId="0" applyNumberFormat="1" applyFont="1" applyBorder="1" applyAlignment="1" applyProtection="1">
      <alignment horizontal="center" vertical="center"/>
      <protection hidden="1"/>
    </xf>
    <xf numFmtId="178" fontId="5" fillId="0" borderId="3" xfId="0" applyNumberFormat="1"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3" xfId="0" applyFont="1" applyBorder="1" applyAlignment="1" applyProtection="1">
      <alignment horizontal="left" vertical="center"/>
      <protection hidden="1"/>
    </xf>
    <xf numFmtId="0" fontId="5" fillId="0" borderId="0" xfId="0" applyFont="1" applyAlignment="1" applyProtection="1">
      <alignment horizontal="center" vertical="center" wrapText="1"/>
      <protection hidden="1"/>
    </xf>
    <xf numFmtId="165" fontId="5" fillId="0" borderId="0" xfId="0" applyNumberFormat="1" applyFont="1" applyAlignment="1" applyProtection="1">
      <alignment horizontal="center" vertical="center"/>
      <protection hidden="1"/>
    </xf>
    <xf numFmtId="165" fontId="8" fillId="0" borderId="0" xfId="0" applyNumberFormat="1" applyFont="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14" fillId="0" borderId="3" xfId="0" applyFont="1" applyBorder="1" applyAlignment="1" applyProtection="1">
      <alignment horizontal="left"/>
      <protection hidden="1"/>
    </xf>
    <xf numFmtId="0" fontId="14" fillId="0" borderId="9" xfId="0" applyFont="1" applyBorder="1" applyAlignment="1" applyProtection="1">
      <alignment horizontal="left"/>
      <protection hidden="1"/>
    </xf>
    <xf numFmtId="0" fontId="9"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11" xfId="0" applyFont="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0" borderId="12" xfId="0" applyFont="1" applyBorder="1" applyAlignment="1" applyProtection="1">
      <alignment horizontal="center" vertical="center"/>
      <protection hidden="1"/>
    </xf>
    <xf numFmtId="171" fontId="1" fillId="0" borderId="0" xfId="1" applyNumberFormat="1" applyFont="1" applyBorder="1" applyAlignment="1" applyProtection="1">
      <alignment horizontal="center" vertical="center"/>
      <protection hidden="1"/>
    </xf>
    <xf numFmtId="172" fontId="1" fillId="0" borderId="0" xfId="1" applyNumberFormat="1" applyBorder="1" applyAlignment="1" applyProtection="1">
      <alignment horizontal="center" vertical="center"/>
      <protection hidden="1"/>
    </xf>
    <xf numFmtId="173" fontId="1" fillId="0" borderId="0" xfId="1" applyNumberFormat="1" applyBorder="1" applyAlignment="1" applyProtection="1">
      <alignment horizontal="center" vertical="center"/>
      <protection hidden="1"/>
    </xf>
    <xf numFmtId="176" fontId="1" fillId="0" borderId="0" xfId="1" applyNumberFormat="1" applyBorder="1" applyAlignment="1" applyProtection="1">
      <alignment horizontal="center" vertical="center"/>
      <protection hidden="1"/>
    </xf>
    <xf numFmtId="175" fontId="1" fillId="0" borderId="0" xfId="1" applyNumberFormat="1" applyBorder="1" applyAlignment="1" applyProtection="1">
      <alignment horizontal="center" vertical="center"/>
      <protection hidden="1"/>
    </xf>
    <xf numFmtId="0" fontId="0" fillId="0" borderId="0" xfId="0" applyAlignment="1" applyProtection="1">
      <alignment horizontal="center" vertical="center"/>
      <protection hidden="1"/>
    </xf>
    <xf numFmtId="169" fontId="0" fillId="0" borderId="0" xfId="0" applyNumberFormat="1" applyAlignment="1" applyProtection="1">
      <alignment horizontal="center" vertical="center"/>
      <protection hidden="1"/>
    </xf>
    <xf numFmtId="1" fontId="0" fillId="0" borderId="0" xfId="0" applyNumberFormat="1" applyAlignment="1" applyProtection="1">
      <alignment horizontal="center" vertical="center"/>
      <protection hidden="1"/>
    </xf>
    <xf numFmtId="173" fontId="3" fillId="0" borderId="0" xfId="1" applyNumberFormat="1" applyFont="1" applyBorder="1" applyAlignment="1" applyProtection="1">
      <alignment horizontal="center" vertical="center"/>
      <protection hidden="1"/>
    </xf>
    <xf numFmtId="175" fontId="3" fillId="0" borderId="0" xfId="1" applyNumberFormat="1" applyFont="1" applyBorder="1" applyAlignment="1" applyProtection="1">
      <alignment horizontal="center" vertical="center"/>
      <protection hidden="1"/>
    </xf>
    <xf numFmtId="171" fontId="1" fillId="0" borderId="3" xfId="1" applyNumberFormat="1" applyFont="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172" fontId="1" fillId="0" borderId="3" xfId="1" applyNumberFormat="1" applyBorder="1" applyAlignment="1" applyProtection="1">
      <alignment horizontal="center" vertical="center"/>
      <protection hidden="1"/>
    </xf>
    <xf numFmtId="169" fontId="0" fillId="0" borderId="3" xfId="0" applyNumberFormat="1" applyBorder="1" applyAlignment="1" applyProtection="1">
      <alignment horizontal="center" vertical="center"/>
      <protection hidden="1"/>
    </xf>
    <xf numFmtId="1" fontId="0" fillId="0" borderId="3" xfId="0" applyNumberFormat="1" applyBorder="1" applyAlignment="1" applyProtection="1">
      <alignment horizontal="center" vertical="center"/>
      <protection hidden="1"/>
    </xf>
    <xf numFmtId="173" fontId="1" fillId="0" borderId="3" xfId="1" applyNumberFormat="1" applyBorder="1" applyAlignment="1" applyProtection="1">
      <alignment horizontal="center" vertical="center"/>
      <protection hidden="1"/>
    </xf>
    <xf numFmtId="171" fontId="1" fillId="0" borderId="3" xfId="1" applyNumberFormat="1" applyBorder="1" applyAlignment="1" applyProtection="1">
      <alignment horizontal="center" vertical="center"/>
      <protection hidden="1"/>
    </xf>
    <xf numFmtId="174" fontId="1" fillId="0" borderId="3" xfId="1" applyNumberFormat="1" applyBorder="1" applyAlignment="1" applyProtection="1">
      <alignment horizontal="center" vertical="center"/>
      <protection hidden="1"/>
    </xf>
    <xf numFmtId="2" fontId="5" fillId="0" borderId="0" xfId="0" applyNumberFormat="1" applyFont="1" applyAlignment="1" applyProtection="1">
      <alignment horizontal="center" vertical="center"/>
      <protection hidden="1"/>
    </xf>
    <xf numFmtId="179" fontId="5" fillId="0" borderId="0" xfId="0" applyNumberFormat="1" applyFont="1" applyAlignment="1" applyProtection="1">
      <alignment horizontal="center" vertical="center"/>
      <protection hidden="1"/>
    </xf>
    <xf numFmtId="172" fontId="1" fillId="0" borderId="13" xfId="1" applyNumberFormat="1" applyBorder="1" applyAlignment="1" applyProtection="1">
      <alignment horizontal="center" vertical="center"/>
      <protection hidden="1"/>
    </xf>
    <xf numFmtId="169" fontId="0" fillId="3" borderId="13" xfId="0" applyNumberFormat="1" applyFill="1" applyBorder="1" applyAlignment="1" applyProtection="1">
      <alignment horizontal="center" vertical="center"/>
      <protection hidden="1"/>
    </xf>
    <xf numFmtId="1" fontId="0" fillId="0" borderId="13" xfId="0" applyNumberFormat="1" applyBorder="1" applyAlignment="1" applyProtection="1">
      <alignment horizontal="center" vertical="center"/>
      <protection hidden="1"/>
    </xf>
    <xf numFmtId="173" fontId="1" fillId="0" borderId="13" xfId="1" applyNumberFormat="1" applyBorder="1" applyAlignment="1" applyProtection="1">
      <alignment horizontal="center" vertical="center"/>
      <protection hidden="1"/>
    </xf>
    <xf numFmtId="171" fontId="1" fillId="0" borderId="13" xfId="1" applyNumberFormat="1" applyBorder="1" applyAlignment="1" applyProtection="1">
      <alignment horizontal="center" vertical="center"/>
      <protection hidden="1"/>
    </xf>
    <xf numFmtId="174" fontId="1" fillId="0" borderId="13" xfId="1" applyNumberFormat="1" applyBorder="1" applyAlignment="1" applyProtection="1">
      <alignment horizontal="center" vertical="center"/>
      <protection hidden="1"/>
    </xf>
    <xf numFmtId="1" fontId="5" fillId="0" borderId="12" xfId="0" applyNumberFormat="1" applyFont="1" applyBorder="1" applyAlignment="1" applyProtection="1">
      <alignment horizontal="center" vertical="center"/>
      <protection hidden="1"/>
    </xf>
    <xf numFmtId="1" fontId="5" fillId="0" borderId="11" xfId="0" applyNumberFormat="1"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177" fontId="8" fillId="0" borderId="0" xfId="0" applyNumberFormat="1" applyFont="1" applyAlignment="1" applyProtection="1">
      <alignment horizontal="center" vertical="center"/>
      <protection hidden="1"/>
    </xf>
    <xf numFmtId="169" fontId="8" fillId="0" borderId="0" xfId="0" applyNumberFormat="1" applyFont="1" applyAlignment="1" applyProtection="1">
      <alignment horizontal="center" vertical="center"/>
      <protection hidden="1"/>
    </xf>
    <xf numFmtId="1" fontId="14" fillId="0" borderId="0" xfId="0" applyNumberFormat="1" applyFont="1" applyAlignment="1" applyProtection="1">
      <alignment horizontal="center" vertical="center"/>
      <protection hidden="1"/>
    </xf>
    <xf numFmtId="0" fontId="5" fillId="0" borderId="11" xfId="0" applyFont="1" applyBorder="1" applyAlignment="1" applyProtection="1">
      <alignment horizontal="center" vertical="center"/>
      <protection hidden="1"/>
    </xf>
    <xf numFmtId="1" fontId="8"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textRotation="90"/>
      <protection hidden="1"/>
    </xf>
    <xf numFmtId="0" fontId="6" fillId="0" borderId="0" xfId="0" applyFont="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0" fontId="5" fillId="0" borderId="0" xfId="0" quotePrefix="1"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169" fontId="5" fillId="0" borderId="0" xfId="0" applyNumberFormat="1" applyFont="1" applyAlignment="1" applyProtection="1">
      <alignment horizontal="center" vertical="center"/>
      <protection hidden="1"/>
    </xf>
    <xf numFmtId="169" fontId="1" fillId="0" borderId="3" xfId="1" applyNumberFormat="1" applyFont="1" applyBorder="1" applyAlignment="1" applyProtection="1">
      <alignment horizontal="center" vertical="center"/>
      <protection hidden="1"/>
    </xf>
    <xf numFmtId="0" fontId="5" fillId="0" borderId="8" xfId="0" applyFont="1" applyBorder="1" applyAlignment="1" applyProtection="1">
      <alignment horizontal="left" vertical="center"/>
      <protection hidden="1"/>
    </xf>
    <xf numFmtId="165" fontId="5" fillId="0" borderId="8" xfId="0" applyNumberFormat="1" applyFont="1" applyBorder="1" applyAlignment="1" applyProtection="1">
      <alignment horizontal="center" vertical="center"/>
      <protection hidden="1"/>
    </xf>
    <xf numFmtId="1" fontId="5" fillId="0" borderId="8" xfId="0" applyNumberFormat="1" applyFont="1" applyBorder="1" applyAlignment="1" applyProtection="1">
      <alignment horizontal="center" vertical="center"/>
      <protection hidden="1"/>
    </xf>
    <xf numFmtId="0" fontId="5" fillId="0" borderId="14" xfId="0" applyFont="1" applyBorder="1" applyAlignment="1" applyProtection="1">
      <alignment horizontal="left" vertical="center"/>
      <protection hidden="1"/>
    </xf>
    <xf numFmtId="0" fontId="13" fillId="0" borderId="0" xfId="0" applyFont="1" applyAlignment="1" applyProtection="1">
      <alignment horizontal="center" vertical="center"/>
      <protection hidden="1"/>
    </xf>
    <xf numFmtId="0" fontId="1" fillId="0" borderId="3" xfId="0" applyFont="1" applyBorder="1" applyAlignment="1" applyProtection="1">
      <alignment horizontal="center"/>
      <protection hidden="1"/>
    </xf>
    <xf numFmtId="170" fontId="1" fillId="0" borderId="3" xfId="0" applyNumberFormat="1" applyFont="1" applyBorder="1" applyAlignment="1" applyProtection="1">
      <alignment horizontal="center"/>
      <protection hidden="1"/>
    </xf>
    <xf numFmtId="0" fontId="16" fillId="0" borderId="0" xfId="0" applyFont="1" applyProtection="1">
      <protection hidden="1"/>
    </xf>
    <xf numFmtId="0" fontId="5" fillId="0" borderId="0" xfId="2" applyFont="1" applyAlignment="1" applyProtection="1">
      <alignment horizontal="center" vertical="center"/>
      <protection hidden="1"/>
    </xf>
    <xf numFmtId="0" fontId="1" fillId="0" borderId="0" xfId="2" applyAlignment="1" applyProtection="1">
      <alignment horizontal="center" vertical="center"/>
      <protection hidden="1"/>
    </xf>
    <xf numFmtId="49" fontId="5" fillId="0" borderId="0" xfId="2" applyNumberFormat="1" applyFont="1" applyAlignment="1" applyProtection="1">
      <alignment horizontal="center" vertical="center"/>
      <protection hidden="1"/>
    </xf>
    <xf numFmtId="2" fontId="5" fillId="0" borderId="0" xfId="2" applyNumberFormat="1" applyFont="1" applyAlignment="1" applyProtection="1">
      <alignment horizontal="center" vertical="center"/>
      <protection hidden="1"/>
    </xf>
    <xf numFmtId="0" fontId="13" fillId="0" borderId="0" xfId="2" applyFont="1" applyAlignment="1" applyProtection="1">
      <alignment horizontal="center" vertical="center"/>
      <protection hidden="1"/>
    </xf>
    <xf numFmtId="170" fontId="1" fillId="0" borderId="3" xfId="2" applyNumberFormat="1" applyBorder="1" applyAlignment="1" applyProtection="1">
      <alignment horizontal="center"/>
      <protection hidden="1"/>
    </xf>
    <xf numFmtId="0" fontId="1" fillId="0" borderId="3" xfId="2" applyBorder="1" applyAlignment="1" applyProtection="1">
      <alignment horizontal="center"/>
      <protection hidden="1"/>
    </xf>
    <xf numFmtId="166" fontId="1" fillId="0" borderId="7" xfId="2" applyNumberFormat="1" applyBorder="1" applyProtection="1">
      <protection hidden="1"/>
    </xf>
    <xf numFmtId="0" fontId="1" fillId="0" borderId="6" xfId="2" applyBorder="1" applyAlignment="1" applyProtection="1">
      <alignment horizontal="center"/>
      <protection hidden="1"/>
    </xf>
    <xf numFmtId="0" fontId="1" fillId="0" borderId="5" xfId="2" applyBorder="1" applyProtection="1">
      <protection hidden="1"/>
    </xf>
    <xf numFmtId="0" fontId="1" fillId="0" borderId="4" xfId="2" applyBorder="1" applyAlignment="1" applyProtection="1">
      <alignment horizontal="center"/>
      <protection hidden="1"/>
    </xf>
    <xf numFmtId="0" fontId="5" fillId="0" borderId="9" xfId="2" applyFont="1" applyBorder="1" applyAlignment="1" applyProtection="1">
      <alignment horizontal="center" vertical="center"/>
      <protection hidden="1"/>
    </xf>
    <xf numFmtId="178" fontId="5" fillId="0" borderId="3" xfId="2" applyNumberFormat="1" applyFont="1" applyBorder="1" applyAlignment="1" applyProtection="1">
      <alignment horizontal="center" vertical="center"/>
      <protection hidden="1"/>
    </xf>
    <xf numFmtId="0" fontId="5" fillId="0" borderId="10" xfId="2" applyFont="1" applyBorder="1" applyAlignment="1" applyProtection="1">
      <alignment horizontal="center" vertical="center"/>
      <protection hidden="1"/>
    </xf>
    <xf numFmtId="0" fontId="5" fillId="0" borderId="3" xfId="2" applyFont="1" applyBorder="1" applyAlignment="1" applyProtection="1">
      <alignment horizontal="left" vertical="center"/>
      <protection hidden="1"/>
    </xf>
    <xf numFmtId="0" fontId="8" fillId="0" borderId="0" xfId="2" applyFont="1" applyAlignment="1" applyProtection="1">
      <alignment horizontal="left" vertical="center"/>
      <protection hidden="1"/>
    </xf>
    <xf numFmtId="0" fontId="1" fillId="0" borderId="0" xfId="2" applyProtection="1">
      <protection hidden="1"/>
    </xf>
    <xf numFmtId="0" fontId="5" fillId="0" borderId="3" xfId="2" applyFont="1" applyBorder="1" applyAlignment="1" applyProtection="1">
      <alignment horizontal="center" vertical="center"/>
      <protection hidden="1"/>
    </xf>
    <xf numFmtId="168" fontId="1" fillId="0" borderId="3" xfId="2" applyNumberFormat="1" applyBorder="1" applyAlignment="1" applyProtection="1">
      <alignment horizontal="center"/>
      <protection hidden="1"/>
    </xf>
    <xf numFmtId="169" fontId="5" fillId="0" borderId="3" xfId="2" applyNumberFormat="1" applyFont="1" applyBorder="1" applyAlignment="1" applyProtection="1">
      <alignment horizontal="center" vertical="center"/>
      <protection hidden="1"/>
    </xf>
    <xf numFmtId="0" fontId="5" fillId="0" borderId="0" xfId="2" quotePrefix="1" applyFont="1" applyAlignment="1" applyProtection="1">
      <alignment horizontal="left" vertical="center"/>
      <protection hidden="1"/>
    </xf>
    <xf numFmtId="167" fontId="1" fillId="0" borderId="3" xfId="2" applyNumberFormat="1" applyBorder="1" applyAlignment="1" applyProtection="1">
      <alignment horizontal="center"/>
      <protection hidden="1"/>
    </xf>
    <xf numFmtId="0" fontId="1" fillId="0" borderId="2" xfId="2" applyBorder="1" applyProtection="1">
      <protection hidden="1"/>
    </xf>
    <xf numFmtId="0" fontId="1" fillId="0" borderId="1" xfId="2" applyBorder="1" applyAlignment="1" applyProtection="1">
      <alignment horizontal="center"/>
      <protection hidden="1"/>
    </xf>
    <xf numFmtId="0" fontId="5" fillId="0" borderId="0" xfId="2" applyFont="1" applyAlignment="1" applyProtection="1">
      <alignment horizontal="left" vertical="center"/>
      <protection hidden="1"/>
    </xf>
    <xf numFmtId="0" fontId="16" fillId="0" borderId="0" xfId="2" applyFont="1" applyProtection="1">
      <protection hidden="1"/>
    </xf>
    <xf numFmtId="1" fontId="5" fillId="0" borderId="11" xfId="2" applyNumberFormat="1" applyFont="1" applyBorder="1" applyAlignment="1" applyProtection="1">
      <alignment horizontal="center" vertical="center"/>
      <protection hidden="1"/>
    </xf>
    <xf numFmtId="1" fontId="5" fillId="0" borderId="12" xfId="2" applyNumberFormat="1" applyFont="1" applyBorder="1" applyAlignment="1" applyProtection="1">
      <alignment horizontal="center" vertical="center"/>
      <protection hidden="1"/>
    </xf>
    <xf numFmtId="1" fontId="5" fillId="0" borderId="0" xfId="2" applyNumberFormat="1" applyFont="1" applyAlignment="1" applyProtection="1">
      <alignment horizontal="center" vertical="center"/>
      <protection hidden="1"/>
    </xf>
    <xf numFmtId="1" fontId="1" fillId="0" borderId="13" xfId="2" applyNumberFormat="1" applyBorder="1" applyAlignment="1" applyProtection="1">
      <alignment horizontal="center" vertical="center"/>
      <protection hidden="1"/>
    </xf>
    <xf numFmtId="169" fontId="1" fillId="3" borderId="13" xfId="2" applyNumberFormat="1" applyFill="1" applyBorder="1" applyAlignment="1" applyProtection="1">
      <alignment horizontal="center" vertical="center"/>
      <protection hidden="1"/>
    </xf>
    <xf numFmtId="165" fontId="8" fillId="0" borderId="0" xfId="2" applyNumberFormat="1" applyFont="1" applyAlignment="1" applyProtection="1">
      <alignment horizontal="center" vertical="center"/>
      <protection hidden="1"/>
    </xf>
    <xf numFmtId="1" fontId="1" fillId="0" borderId="3" xfId="2" applyNumberFormat="1" applyBorder="1" applyAlignment="1" applyProtection="1">
      <alignment horizontal="center" vertical="center"/>
      <protection hidden="1"/>
    </xf>
    <xf numFmtId="169" fontId="1" fillId="0" borderId="3" xfId="2" applyNumberFormat="1" applyBorder="1" applyAlignment="1" applyProtection="1">
      <alignment horizontal="center" vertical="center"/>
      <protection hidden="1"/>
    </xf>
    <xf numFmtId="165" fontId="5" fillId="0" borderId="0" xfId="2" applyNumberFormat="1" applyFont="1" applyAlignment="1" applyProtection="1">
      <alignment horizontal="center" vertical="center"/>
      <protection hidden="1"/>
    </xf>
    <xf numFmtId="165" fontId="5" fillId="0" borderId="8" xfId="2" applyNumberFormat="1" applyFont="1" applyBorder="1" applyAlignment="1" applyProtection="1">
      <alignment horizontal="center" vertical="center"/>
      <protection hidden="1"/>
    </xf>
    <xf numFmtId="2" fontId="5" fillId="0" borderId="3" xfId="2" applyNumberFormat="1" applyFont="1" applyBorder="1" applyAlignment="1" applyProtection="1">
      <alignment horizontal="center" vertical="center"/>
      <protection hidden="1"/>
    </xf>
    <xf numFmtId="1" fontId="5" fillId="0" borderId="8" xfId="2" applyNumberFormat="1" applyFont="1" applyBorder="1" applyAlignment="1" applyProtection="1">
      <alignment horizontal="center" vertical="center"/>
      <protection hidden="1"/>
    </xf>
    <xf numFmtId="1" fontId="5" fillId="0" borderId="3" xfId="2" applyNumberFormat="1" applyFont="1" applyBorder="1" applyAlignment="1" applyProtection="1">
      <alignment horizontal="center" vertical="center"/>
      <protection hidden="1"/>
    </xf>
    <xf numFmtId="1" fontId="5" fillId="0" borderId="10" xfId="2" applyNumberFormat="1" applyFont="1" applyBorder="1" applyAlignment="1" applyProtection="1">
      <alignment horizontal="center" vertical="center"/>
      <protection hidden="1"/>
    </xf>
    <xf numFmtId="179" fontId="5" fillId="0" borderId="0" xfId="2" applyNumberFormat="1" applyFont="1" applyAlignment="1" applyProtection="1">
      <alignment horizontal="center" vertical="center"/>
      <protection hidden="1"/>
    </xf>
    <xf numFmtId="0" fontId="3" fillId="0" borderId="3" xfId="2" applyFont="1" applyBorder="1" applyAlignment="1" applyProtection="1">
      <alignment horizontal="center" vertical="center"/>
      <protection hidden="1"/>
    </xf>
    <xf numFmtId="0" fontId="1" fillId="0" borderId="3" xfId="2" applyBorder="1" applyAlignment="1" applyProtection="1">
      <alignment horizontal="center" vertical="center"/>
      <protection hidden="1"/>
    </xf>
    <xf numFmtId="0" fontId="5" fillId="0" borderId="8" xfId="2" applyFont="1" applyBorder="1" applyAlignment="1" applyProtection="1">
      <alignment horizontal="left" vertical="center"/>
      <protection hidden="1"/>
    </xf>
    <xf numFmtId="0" fontId="14" fillId="0" borderId="0" xfId="2" applyFont="1" applyAlignment="1" applyProtection="1">
      <alignment horizontal="center" vertical="center"/>
      <protection hidden="1"/>
    </xf>
    <xf numFmtId="0" fontId="6" fillId="0" borderId="0" xfId="2" applyFont="1" applyAlignment="1" applyProtection="1">
      <alignment horizontal="center" vertical="center"/>
      <protection hidden="1"/>
    </xf>
    <xf numFmtId="0" fontId="5" fillId="0" borderId="0" xfId="2" applyFont="1" applyAlignment="1" applyProtection="1">
      <alignment horizontal="center" vertical="center" textRotation="90"/>
      <protection hidden="1"/>
    </xf>
    <xf numFmtId="0" fontId="14" fillId="0" borderId="0" xfId="2" applyFont="1" applyAlignment="1" applyProtection="1">
      <alignment horizontal="center"/>
      <protection hidden="1"/>
    </xf>
    <xf numFmtId="1" fontId="1" fillId="0" borderId="0" xfId="2" applyNumberFormat="1" applyAlignment="1" applyProtection="1">
      <alignment horizontal="center" vertical="center"/>
      <protection hidden="1"/>
    </xf>
    <xf numFmtId="0" fontId="14" fillId="0" borderId="11" xfId="2" applyFont="1" applyBorder="1" applyAlignment="1" applyProtection="1">
      <alignment horizontal="center" vertical="center"/>
      <protection hidden="1"/>
    </xf>
    <xf numFmtId="0" fontId="14" fillId="0" borderId="9" xfId="2" applyFont="1" applyBorder="1" applyAlignment="1" applyProtection="1">
      <alignment horizontal="left"/>
      <protection hidden="1"/>
    </xf>
    <xf numFmtId="0" fontId="14" fillId="0" borderId="3" xfId="2" applyFont="1" applyBorder="1" applyAlignment="1" applyProtection="1">
      <alignment horizontal="left"/>
      <protection hidden="1"/>
    </xf>
    <xf numFmtId="0" fontId="14" fillId="0" borderId="11" xfId="2" applyFont="1" applyBorder="1" applyAlignment="1" applyProtection="1">
      <alignment horizontal="center" vertical="center" wrapText="1"/>
      <protection hidden="1"/>
    </xf>
    <xf numFmtId="0" fontId="5" fillId="0" borderId="0" xfId="2" applyFont="1" applyAlignment="1" applyProtection="1">
      <alignment horizontal="center" vertical="center" wrapText="1"/>
      <protection hidden="1"/>
    </xf>
    <xf numFmtId="169" fontId="1" fillId="0" borderId="0" xfId="2" applyNumberFormat="1" applyAlignment="1" applyProtection="1">
      <alignment horizontal="center" vertical="center"/>
      <protection hidden="1"/>
    </xf>
    <xf numFmtId="0" fontId="14" fillId="0" borderId="12" xfId="2" applyFont="1" applyBorder="1" applyAlignment="1" applyProtection="1">
      <alignment horizontal="center" vertical="center" wrapText="1"/>
      <protection hidden="1"/>
    </xf>
    <xf numFmtId="0" fontId="3" fillId="0" borderId="0" xfId="2" applyFont="1" applyAlignment="1" applyProtection="1">
      <alignment horizontal="center" vertical="center"/>
      <protection hidden="1"/>
    </xf>
    <xf numFmtId="1" fontId="14" fillId="0" borderId="0" xfId="2" applyNumberFormat="1" applyFont="1" applyAlignment="1" applyProtection="1">
      <alignment horizontal="center" vertical="center"/>
      <protection hidden="1"/>
    </xf>
    <xf numFmtId="0" fontId="8" fillId="0" borderId="0" xfId="2" applyFont="1" applyAlignment="1" applyProtection="1">
      <alignment horizontal="center" vertical="center"/>
      <protection hidden="1"/>
    </xf>
    <xf numFmtId="0" fontId="11" fillId="0" borderId="0" xfId="2" applyFont="1" applyAlignment="1" applyProtection="1">
      <alignment horizontal="center" vertical="center"/>
      <protection hidden="1"/>
    </xf>
    <xf numFmtId="0" fontId="3" fillId="0" borderId="12" xfId="2" applyFont="1" applyBorder="1" applyAlignment="1" applyProtection="1">
      <alignment horizontal="center" vertical="center"/>
      <protection hidden="1"/>
    </xf>
    <xf numFmtId="1" fontId="8" fillId="0" borderId="0" xfId="2" applyNumberFormat="1" applyFont="1" applyAlignment="1" applyProtection="1">
      <alignment horizontal="center" vertical="center"/>
      <protection hidden="1"/>
    </xf>
    <xf numFmtId="0" fontId="5" fillId="0" borderId="7" xfId="2" applyFont="1" applyBorder="1" applyAlignment="1" applyProtection="1">
      <alignment horizontal="center" vertical="center"/>
      <protection hidden="1"/>
    </xf>
    <xf numFmtId="0" fontId="5" fillId="0" borderId="11" xfId="2" applyFont="1" applyBorder="1" applyAlignment="1" applyProtection="1">
      <alignment horizontal="center" vertical="center"/>
      <protection hidden="1"/>
    </xf>
    <xf numFmtId="0" fontId="5" fillId="0" borderId="14" xfId="2" applyFont="1" applyBorder="1" applyAlignment="1" applyProtection="1">
      <alignment horizontal="center" vertical="center"/>
      <protection hidden="1"/>
    </xf>
    <xf numFmtId="0" fontId="5" fillId="0" borderId="6" xfId="2" applyFont="1" applyBorder="1" applyAlignment="1" applyProtection="1">
      <alignment horizontal="left" vertical="center"/>
      <protection hidden="1"/>
    </xf>
    <xf numFmtId="0" fontId="9" fillId="0" borderId="0" xfId="2" applyFont="1" applyAlignment="1" applyProtection="1">
      <alignment horizontal="center" vertical="center"/>
      <protection hidden="1"/>
    </xf>
    <xf numFmtId="0" fontId="5" fillId="0" borderId="14" xfId="2" applyFont="1" applyBorder="1" applyAlignment="1" applyProtection="1">
      <alignment horizontal="left" vertical="center"/>
      <protection hidden="1"/>
    </xf>
    <xf numFmtId="169" fontId="5" fillId="0" borderId="0" xfId="2" applyNumberFormat="1" applyFont="1" applyAlignment="1" applyProtection="1">
      <alignment horizontal="center" vertical="center"/>
      <protection hidden="1"/>
    </xf>
    <xf numFmtId="0" fontId="12" fillId="0" borderId="0" xfId="2" applyFont="1" applyAlignment="1" applyProtection="1">
      <alignment horizontal="left" vertical="center"/>
      <protection hidden="1"/>
    </xf>
    <xf numFmtId="169" fontId="8" fillId="0" borderId="0" xfId="2" applyNumberFormat="1" applyFont="1" applyAlignment="1" applyProtection="1">
      <alignment horizontal="center" vertical="center"/>
      <protection hidden="1"/>
    </xf>
    <xf numFmtId="177" fontId="8" fillId="0" borderId="0" xfId="2" applyNumberFormat="1" applyFont="1" applyAlignment="1" applyProtection="1">
      <alignment horizontal="center" vertical="center"/>
      <protection hidden="1"/>
    </xf>
    <xf numFmtId="0" fontId="7" fillId="0" borderId="0" xfId="2" applyFont="1" applyAlignment="1" applyProtection="1">
      <alignment horizontal="center" vertical="center"/>
      <protection hidden="1"/>
    </xf>
    <xf numFmtId="0" fontId="5" fillId="0" borderId="13" xfId="2" applyFont="1" applyBorder="1" applyAlignment="1" applyProtection="1">
      <alignment horizontal="center" vertical="center"/>
      <protection hidden="1"/>
    </xf>
    <xf numFmtId="1" fontId="5" fillId="0" borderId="13" xfId="2" applyNumberFormat="1" applyFont="1" applyBorder="1" applyAlignment="1" applyProtection="1">
      <alignment horizontal="center" vertical="center"/>
      <protection hidden="1"/>
    </xf>
    <xf numFmtId="2" fontId="5" fillId="0" borderId="13" xfId="2" applyNumberFormat="1" applyFont="1" applyBorder="1" applyAlignment="1" applyProtection="1">
      <alignment horizontal="center" vertical="center"/>
      <protection hidden="1"/>
    </xf>
    <xf numFmtId="165" fontId="5" fillId="0" borderId="13" xfId="2" applyNumberFormat="1" applyFont="1" applyBorder="1" applyAlignment="1" applyProtection="1">
      <alignment horizontal="center" vertical="center"/>
      <protection hidden="1"/>
    </xf>
    <xf numFmtId="1" fontId="5" fillId="0" borderId="14" xfId="2" applyNumberFormat="1" applyFont="1" applyBorder="1" applyAlignment="1" applyProtection="1">
      <alignment horizontal="center" vertical="center"/>
      <protection hidden="1"/>
    </xf>
    <xf numFmtId="2" fontId="5" fillId="0" borderId="14" xfId="2" applyNumberFormat="1" applyFont="1" applyBorder="1" applyAlignment="1" applyProtection="1">
      <alignment horizontal="center" vertical="center"/>
      <protection hidden="1"/>
    </xf>
    <xf numFmtId="165" fontId="5" fillId="0" borderId="14" xfId="2" applyNumberFormat="1" applyFont="1" applyBorder="1" applyAlignment="1" applyProtection="1">
      <alignment horizontal="center" vertical="center"/>
      <protection hidden="1"/>
    </xf>
    <xf numFmtId="0" fontId="19" fillId="0" borderId="0" xfId="0" applyFont="1" applyProtection="1">
      <protection hidden="1"/>
    </xf>
    <xf numFmtId="0" fontId="2" fillId="0" borderId="0" xfId="0" applyFont="1" applyAlignment="1" applyProtection="1">
      <alignment horizontal="center"/>
      <protection hidden="1"/>
    </xf>
    <xf numFmtId="0" fontId="18" fillId="0" borderId="0" xfId="0" applyFont="1" applyAlignment="1" applyProtection="1">
      <alignment vertical="center" readingOrder="1"/>
      <protection hidden="1"/>
    </xf>
    <xf numFmtId="0" fontId="19" fillId="0" borderId="0" xfId="0" applyFont="1" applyAlignment="1" applyProtection="1">
      <alignment readingOrder="1"/>
      <protection hidden="1"/>
    </xf>
    <xf numFmtId="0" fontId="20" fillId="0" borderId="0" xfId="0" applyFont="1" applyAlignment="1" applyProtection="1">
      <alignment vertical="center" readingOrder="1"/>
      <protection hidden="1"/>
    </xf>
    <xf numFmtId="0" fontId="21" fillId="0" borderId="0" xfId="3" applyFont="1" applyAlignment="1" applyProtection="1">
      <alignment vertical="center" readingOrder="1"/>
      <protection hidden="1"/>
    </xf>
    <xf numFmtId="0" fontId="20" fillId="0" borderId="0" xfId="0" applyFont="1" applyAlignment="1" applyProtection="1">
      <alignment readingOrder="1"/>
      <protection hidden="1"/>
    </xf>
    <xf numFmtId="0" fontId="22" fillId="0" borderId="0" xfId="0" applyFont="1" applyProtection="1">
      <protection hidden="1"/>
    </xf>
    <xf numFmtId="0" fontId="23" fillId="0" borderId="0" xfId="0" applyFont="1" applyProtection="1">
      <protection hidden="1"/>
    </xf>
    <xf numFmtId="0" fontId="19" fillId="0" borderId="14" xfId="0" applyFont="1" applyBorder="1" applyProtection="1">
      <protection hidden="1"/>
    </xf>
    <xf numFmtId="0" fontId="5" fillId="0" borderId="0" xfId="2" applyFont="1" applyAlignment="1" applyProtection="1">
      <alignment vertical="center"/>
      <protection hidden="1"/>
    </xf>
    <xf numFmtId="0" fontId="5" fillId="2" borderId="3" xfId="2" applyFont="1" applyFill="1" applyBorder="1" applyAlignment="1" applyProtection="1">
      <alignment horizontal="center" vertical="center"/>
      <protection hidden="1"/>
    </xf>
    <xf numFmtId="49" fontId="5" fillId="0" borderId="13" xfId="2" applyNumberFormat="1" applyFont="1" applyBorder="1" applyAlignment="1" applyProtection="1">
      <alignment horizontal="left" vertical="center"/>
      <protection hidden="1"/>
    </xf>
    <xf numFmtId="169" fontId="5" fillId="0" borderId="13" xfId="2" applyNumberFormat="1" applyFont="1" applyBorder="1" applyAlignment="1" applyProtection="1">
      <alignment horizontal="center" vertical="center"/>
      <protection hidden="1"/>
    </xf>
    <xf numFmtId="49" fontId="5" fillId="0" borderId="14" xfId="2" applyNumberFormat="1" applyFont="1" applyBorder="1" applyAlignment="1" applyProtection="1">
      <alignment horizontal="left" vertical="center"/>
      <protection hidden="1"/>
    </xf>
    <xf numFmtId="169" fontId="5" fillId="0" borderId="14" xfId="2"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0" fontId="5" fillId="2" borderId="3" xfId="0" applyFont="1" applyFill="1" applyBorder="1" applyAlignment="1" applyProtection="1">
      <alignment horizontal="center" vertical="center"/>
      <protection hidden="1"/>
    </xf>
    <xf numFmtId="1" fontId="24" fillId="0" borderId="0" xfId="2" applyNumberFormat="1" applyFont="1" applyAlignment="1" applyProtection="1">
      <alignment horizontal="center" vertical="center"/>
      <protection hidden="1"/>
    </xf>
    <xf numFmtId="9" fontId="5" fillId="0" borderId="0" xfId="2" applyNumberFormat="1" applyFont="1" applyAlignment="1" applyProtection="1">
      <alignment horizontal="center" vertical="center"/>
      <protection hidden="1"/>
    </xf>
    <xf numFmtId="0" fontId="5" fillId="4" borderId="3" xfId="0" applyFont="1" applyFill="1" applyBorder="1" applyAlignment="1" applyProtection="1">
      <alignment horizontal="center" vertical="center"/>
      <protection locked="0"/>
    </xf>
    <xf numFmtId="1" fontId="5" fillId="4" borderId="3" xfId="0" applyNumberFormat="1" applyFont="1" applyFill="1" applyBorder="1" applyAlignment="1" applyProtection="1">
      <alignment horizontal="center" vertical="center"/>
      <protection locked="0"/>
    </xf>
    <xf numFmtId="169" fontId="5" fillId="4" borderId="3" xfId="0" applyNumberFormat="1" applyFont="1" applyFill="1" applyBorder="1" applyAlignment="1" applyProtection="1">
      <alignment horizontal="center" vertical="center"/>
      <protection locked="0"/>
    </xf>
    <xf numFmtId="0" fontId="5" fillId="4" borderId="3" xfId="2" applyFont="1" applyFill="1" applyBorder="1" applyAlignment="1" applyProtection="1">
      <alignment horizontal="center" vertical="center"/>
      <protection locked="0"/>
    </xf>
    <xf numFmtId="1" fontId="5" fillId="4" borderId="3" xfId="2" applyNumberFormat="1" applyFont="1" applyFill="1" applyBorder="1" applyAlignment="1" applyProtection="1">
      <alignment horizontal="center" vertical="center"/>
      <protection locked="0"/>
    </xf>
    <xf numFmtId="169" fontId="5" fillId="4" borderId="3" xfId="2" applyNumberFormat="1" applyFont="1" applyFill="1" applyBorder="1" applyAlignment="1" applyProtection="1">
      <alignment horizontal="center" vertical="center"/>
      <protection locked="0"/>
    </xf>
    <xf numFmtId="0" fontId="26" fillId="0" borderId="0" xfId="0" applyFont="1" applyProtection="1">
      <protection hidden="1"/>
    </xf>
    <xf numFmtId="0" fontId="27" fillId="0" borderId="0" xfId="0" applyFont="1" applyProtection="1">
      <protection hidden="1"/>
    </xf>
    <xf numFmtId="180" fontId="19" fillId="0" borderId="0" xfId="0" applyNumberFormat="1" applyFont="1" applyAlignment="1" applyProtection="1">
      <alignment horizontal="right"/>
      <protection hidden="1"/>
    </xf>
    <xf numFmtId="181" fontId="19" fillId="0" borderId="0" xfId="0" applyNumberFormat="1" applyFont="1" applyAlignment="1" applyProtection="1">
      <alignment horizontal="right"/>
      <protection hidden="1"/>
    </xf>
    <xf numFmtId="165" fontId="19" fillId="0" borderId="0" xfId="0" applyNumberFormat="1" applyFont="1" applyProtection="1">
      <protection hidden="1"/>
    </xf>
    <xf numFmtId="0" fontId="19" fillId="0" borderId="0" xfId="0" applyFont="1" applyAlignment="1" applyProtection="1">
      <alignment horizontal="right"/>
      <protection hidden="1"/>
    </xf>
    <xf numFmtId="0" fontId="19" fillId="0" borderId="0" xfId="0" applyFont="1" applyAlignment="1" applyProtection="1">
      <alignment horizontal="left"/>
      <protection hidden="1"/>
    </xf>
    <xf numFmtId="0" fontId="25" fillId="0" borderId="14" xfId="2" applyFont="1" applyBorder="1" applyAlignment="1" applyProtection="1">
      <alignment horizontal="left" vertical="center"/>
      <protection hidden="1"/>
    </xf>
    <xf numFmtId="0" fontId="25"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19" fillId="0" borderId="0" xfId="0" applyFont="1" applyAlignment="1" applyProtection="1">
      <alignment vertical="top" wrapText="1"/>
      <protection hidden="1"/>
    </xf>
    <xf numFmtId="0" fontId="19" fillId="0" borderId="3" xfId="0" applyFont="1" applyBorder="1" applyAlignment="1" applyProtection="1">
      <alignment horizontal="left" vertical="center" wrapText="1"/>
      <protection hidden="1"/>
    </xf>
    <xf numFmtId="165" fontId="8" fillId="0" borderId="14" xfId="0" applyNumberFormat="1"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25" fillId="0" borderId="0" xfId="0" applyFont="1" applyAlignment="1" applyProtection="1">
      <alignment horizontal="right" vertical="center"/>
      <protection hidden="1"/>
    </xf>
    <xf numFmtId="0" fontId="29" fillId="0" borderId="0" xfId="0" applyFont="1" applyAlignment="1" applyProtection="1">
      <alignment wrapText="1"/>
      <protection locked="0"/>
    </xf>
    <xf numFmtId="0" fontId="29" fillId="0" borderId="3" xfId="0" applyFont="1" applyBorder="1" applyAlignment="1" applyProtection="1">
      <alignment wrapText="1"/>
      <protection locked="0"/>
    </xf>
    <xf numFmtId="0" fontId="2" fillId="0" borderId="15" xfId="0" applyFont="1" applyBorder="1" applyAlignment="1" applyProtection="1">
      <alignment horizontal="center" vertical="center"/>
      <protection hidden="1"/>
    </xf>
    <xf numFmtId="0" fontId="19" fillId="0" borderId="0" xfId="0" quotePrefix="1" applyFont="1" applyProtection="1">
      <protection hidden="1"/>
    </xf>
    <xf numFmtId="0" fontId="29" fillId="5" borderId="3" xfId="0" applyFont="1" applyFill="1" applyBorder="1" applyAlignment="1" applyProtection="1">
      <alignment wrapText="1"/>
      <protection locked="0"/>
    </xf>
    <xf numFmtId="0" fontId="15" fillId="5" borderId="3" xfId="2" applyFont="1" applyFill="1" applyBorder="1" applyAlignment="1" applyProtection="1">
      <alignment vertical="center" wrapText="1"/>
      <protection locked="0"/>
    </xf>
    <xf numFmtId="0" fontId="15" fillId="5" borderId="3" xfId="2" applyFont="1" applyFill="1" applyBorder="1" applyAlignment="1" applyProtection="1">
      <alignment horizontal="left" vertical="center" wrapText="1"/>
      <protection locked="0"/>
    </xf>
    <xf numFmtId="0" fontId="30" fillId="5" borderId="3" xfId="0" applyFont="1" applyFill="1" applyBorder="1" applyAlignment="1" applyProtection="1">
      <alignment wrapText="1"/>
      <protection locked="0"/>
    </xf>
    <xf numFmtId="0" fontId="29" fillId="5" borderId="16" xfId="0" applyFont="1" applyFill="1" applyBorder="1" applyAlignment="1" applyProtection="1">
      <alignment vertical="top" wrapText="1"/>
      <protection locked="0"/>
    </xf>
    <xf numFmtId="0" fontId="15" fillId="5" borderId="11" xfId="2" applyFont="1" applyFill="1" applyBorder="1" applyAlignment="1" applyProtection="1">
      <alignment vertical="center" wrapText="1"/>
      <protection locked="0"/>
    </xf>
    <xf numFmtId="0" fontId="15" fillId="5" borderId="11" xfId="2" applyFont="1" applyFill="1" applyBorder="1" applyAlignment="1" applyProtection="1">
      <alignment horizontal="left" vertical="center" wrapText="1"/>
      <protection locked="0"/>
    </xf>
    <xf numFmtId="0" fontId="29" fillId="5" borderId="11" xfId="0" applyFont="1" applyFill="1" applyBorder="1" applyAlignment="1" applyProtection="1">
      <alignment wrapText="1"/>
      <protection locked="0"/>
    </xf>
    <xf numFmtId="49" fontId="15" fillId="5" borderId="3" xfId="2" applyNumberFormat="1" applyFont="1" applyFill="1" applyBorder="1" applyAlignment="1" applyProtection="1">
      <alignment vertical="center" wrapText="1"/>
      <protection locked="0"/>
    </xf>
    <xf numFmtId="0" fontId="32" fillId="5" borderId="3" xfId="0" applyFont="1" applyFill="1" applyBorder="1" applyAlignment="1" applyProtection="1">
      <alignment horizontal="center" wrapText="1"/>
      <protection locked="0"/>
    </xf>
    <xf numFmtId="0" fontId="29" fillId="5" borderId="16" xfId="0" applyFont="1" applyFill="1" applyBorder="1" applyAlignment="1" applyProtection="1">
      <alignment wrapText="1"/>
      <protection locked="0"/>
    </xf>
    <xf numFmtId="0" fontId="29" fillId="5" borderId="3" xfId="0" applyFont="1" applyFill="1" applyBorder="1" applyAlignment="1" applyProtection="1">
      <alignment horizontal="left" vertical="top" wrapText="1"/>
      <protection locked="0"/>
    </xf>
    <xf numFmtId="0" fontId="29" fillId="5" borderId="3" xfId="0" applyFont="1" applyFill="1" applyBorder="1" applyAlignment="1" applyProtection="1">
      <alignment vertical="top" wrapText="1"/>
      <protection locked="0"/>
    </xf>
    <xf numFmtId="0" fontId="31" fillId="5" borderId="3" xfId="0" applyFont="1" applyFill="1" applyBorder="1" applyAlignment="1" applyProtection="1">
      <alignment wrapText="1"/>
      <protection locked="0"/>
    </xf>
    <xf numFmtId="0" fontId="31" fillId="5" borderId="3" xfId="0" applyFont="1" applyFill="1" applyBorder="1" applyAlignment="1" applyProtection="1">
      <alignment vertical="top" wrapText="1"/>
      <protection locked="0"/>
    </xf>
    <xf numFmtId="0" fontId="19" fillId="0" borderId="3"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2" fillId="0" borderId="15" xfId="0" applyFont="1" applyBorder="1" applyAlignment="1" applyProtection="1">
      <alignment horizontal="center" vertical="center"/>
      <protection locked="0" hidden="1"/>
    </xf>
    <xf numFmtId="0" fontId="29" fillId="0" borderId="9" xfId="0" applyFont="1" applyBorder="1" applyAlignment="1" applyProtection="1">
      <alignment wrapText="1"/>
      <protection locked="0"/>
    </xf>
    <xf numFmtId="0" fontId="29" fillId="5" borderId="16" xfId="0" applyFont="1" applyFill="1" applyBorder="1" applyAlignment="1" applyProtection="1">
      <alignment horizontal="left" vertical="top" wrapText="1"/>
      <protection locked="0"/>
    </xf>
    <xf numFmtId="0" fontId="29" fillId="5" borderId="11" xfId="0" applyFont="1" applyFill="1" applyBorder="1" applyAlignment="1" applyProtection="1">
      <alignment horizontal="left" vertical="top" wrapText="1"/>
      <protection locked="0"/>
    </xf>
    <xf numFmtId="0" fontId="33" fillId="5" borderId="3" xfId="0" applyFont="1" applyFill="1" applyBorder="1" applyAlignment="1" applyProtection="1">
      <alignment horizontal="left" vertical="top" wrapText="1"/>
      <protection locked="0"/>
    </xf>
    <xf numFmtId="0" fontId="2" fillId="0" borderId="0" xfId="0" applyFont="1" applyProtection="1">
      <protection hidden="1"/>
    </xf>
    <xf numFmtId="0" fontId="34" fillId="0" borderId="0" xfId="0" applyFont="1" applyProtection="1">
      <protection hidden="1"/>
    </xf>
    <xf numFmtId="1" fontId="1" fillId="0" borderId="3" xfId="0" applyNumberFormat="1" applyFont="1" applyBorder="1" applyAlignment="1" applyProtection="1">
      <alignment horizontal="center" vertical="center"/>
      <protection hidden="1"/>
    </xf>
    <xf numFmtId="0" fontId="1" fillId="0" borderId="0" xfId="0" quotePrefix="1" applyFont="1" applyAlignment="1" applyProtection="1">
      <alignment horizontal="right" vertical="top"/>
      <protection hidden="1"/>
    </xf>
    <xf numFmtId="0" fontId="8" fillId="4" borderId="14" xfId="0" applyFont="1" applyFill="1" applyBorder="1" applyAlignment="1" applyProtection="1">
      <alignment horizontal="center" vertical="center"/>
      <protection locked="0"/>
    </xf>
    <xf numFmtId="0" fontId="5" fillId="4" borderId="3" xfId="2" applyFont="1" applyFill="1" applyBorder="1" applyAlignment="1" applyProtection="1">
      <alignment horizontal="left" vertical="center"/>
      <protection locked="0"/>
    </xf>
    <xf numFmtId="0" fontId="8" fillId="6" borderId="14" xfId="2" applyFont="1" applyFill="1" applyBorder="1" applyAlignment="1" applyProtection="1">
      <alignment horizontal="center" vertical="center"/>
      <protection hidden="1"/>
    </xf>
    <xf numFmtId="0" fontId="5" fillId="4" borderId="3" xfId="0" applyFont="1" applyFill="1" applyBorder="1" applyAlignment="1" applyProtection="1">
      <alignment horizontal="left" vertical="center"/>
      <protection locked="0"/>
    </xf>
    <xf numFmtId="49" fontId="5" fillId="4" borderId="3" xfId="2" applyNumberFormat="1" applyFont="1" applyFill="1" applyBorder="1" applyAlignment="1" applyProtection="1">
      <alignment horizontal="left" vertical="center"/>
      <protection locked="0"/>
    </xf>
    <xf numFmtId="49" fontId="5" fillId="4" borderId="3" xfId="0" applyNumberFormat="1" applyFont="1" applyFill="1" applyBorder="1" applyAlignment="1" applyProtection="1">
      <alignment horizontal="left" vertical="center"/>
      <protection locked="0"/>
    </xf>
    <xf numFmtId="0" fontId="19" fillId="4" borderId="0" xfId="0" applyFont="1" applyFill="1" applyAlignment="1" applyProtection="1">
      <alignment horizontal="left"/>
      <protection locked="0"/>
    </xf>
    <xf numFmtId="0" fontId="19" fillId="4" borderId="0" xfId="0"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32" fillId="0" borderId="15" xfId="0" applyFont="1" applyBorder="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25" fillId="0" borderId="0" xfId="2" applyFont="1" applyAlignment="1" applyProtection="1">
      <alignment horizontal="left" vertical="top" wrapText="1"/>
      <protection hidden="1"/>
    </xf>
    <xf numFmtId="0" fontId="5" fillId="0" borderId="0" xfId="2" applyFont="1" applyAlignment="1" applyProtection="1">
      <alignment horizontal="center" vertical="center"/>
      <protection hidden="1"/>
    </xf>
    <xf numFmtId="0" fontId="15" fillId="0" borderId="3" xfId="2" applyFont="1" applyBorder="1" applyAlignment="1" applyProtection="1">
      <alignment horizontal="center" vertical="center" textRotation="90"/>
      <protection hidden="1"/>
    </xf>
    <xf numFmtId="165" fontId="8" fillId="0" borderId="0" xfId="2" applyNumberFormat="1" applyFont="1" applyAlignment="1" applyProtection="1">
      <alignment horizontal="center" vertical="center"/>
      <protection hidden="1"/>
    </xf>
    <xf numFmtId="0" fontId="5" fillId="0" borderId="3" xfId="2" applyFont="1" applyBorder="1" applyAlignment="1" applyProtection="1">
      <alignment horizontal="left" vertical="center" wrapText="1"/>
      <protection hidden="1"/>
    </xf>
    <xf numFmtId="0" fontId="5" fillId="0" borderId="3" xfId="2" applyFont="1" applyBorder="1" applyAlignment="1" applyProtection="1">
      <alignment horizontal="left" vertical="center"/>
      <protection hidden="1"/>
    </xf>
    <xf numFmtId="0" fontId="14" fillId="0" borderId="12" xfId="2" applyFont="1" applyBorder="1" applyAlignment="1" applyProtection="1">
      <alignment horizontal="center" vertical="center" textRotation="90" wrapText="1"/>
      <protection hidden="1"/>
    </xf>
    <xf numFmtId="0" fontId="14" fillId="0" borderId="11" xfId="2" applyFont="1" applyBorder="1" applyAlignment="1" applyProtection="1">
      <alignment horizontal="center" vertical="center" textRotation="90" wrapText="1"/>
      <protection hidden="1"/>
    </xf>
    <xf numFmtId="0" fontId="5" fillId="0" borderId="14" xfId="2" applyFont="1" applyBorder="1" applyAlignment="1" applyProtection="1">
      <alignment horizontal="left" vertical="center"/>
      <protection hidden="1"/>
    </xf>
    <xf numFmtId="0" fontId="6" fillId="0" borderId="17" xfId="2" applyFont="1" applyBorder="1" applyAlignment="1" applyProtection="1">
      <alignment horizontal="center" vertical="center" wrapText="1"/>
      <protection hidden="1"/>
    </xf>
    <xf numFmtId="0" fontId="6" fillId="0" borderId="18" xfId="2" applyFont="1" applyBorder="1" applyAlignment="1" applyProtection="1">
      <alignment horizontal="center" vertical="center" wrapText="1"/>
      <protection hidden="1"/>
    </xf>
    <xf numFmtId="0" fontId="6" fillId="0" borderId="19" xfId="2" applyFont="1" applyBorder="1" applyAlignment="1" applyProtection="1">
      <alignment horizontal="center" vertical="center" wrapText="1"/>
      <protection hidden="1"/>
    </xf>
    <xf numFmtId="0" fontId="6" fillId="0" borderId="20" xfId="2" applyFont="1" applyBorder="1" applyAlignment="1" applyProtection="1">
      <alignment horizontal="center" vertical="center" wrapText="1"/>
      <protection hidden="1"/>
    </xf>
    <xf numFmtId="0" fontId="6" fillId="0" borderId="0" xfId="2" applyFont="1" applyAlignment="1" applyProtection="1">
      <alignment horizontal="center" vertical="center" wrapText="1"/>
      <protection hidden="1"/>
    </xf>
    <xf numFmtId="0" fontId="6" fillId="0" borderId="21" xfId="2" applyFont="1" applyBorder="1" applyAlignment="1" applyProtection="1">
      <alignment horizontal="center" vertical="center" wrapText="1"/>
      <protection hidden="1"/>
    </xf>
    <xf numFmtId="0" fontId="6" fillId="0" borderId="22" xfId="2" applyFont="1" applyBorder="1" applyAlignment="1" applyProtection="1">
      <alignment horizontal="center" vertical="center" wrapText="1"/>
      <protection hidden="1"/>
    </xf>
    <xf numFmtId="0" fontId="6" fillId="0" borderId="23" xfId="2" applyFont="1" applyBorder="1" applyAlignment="1" applyProtection="1">
      <alignment horizontal="center" vertical="center" wrapText="1"/>
      <protection hidden="1"/>
    </xf>
    <xf numFmtId="0" fontId="6" fillId="0" borderId="24" xfId="2" applyFont="1" applyBorder="1" applyAlignment="1" applyProtection="1">
      <alignment horizontal="center" vertical="center" wrapText="1"/>
      <protection hidden="1"/>
    </xf>
    <xf numFmtId="168" fontId="8" fillId="0" borderId="0" xfId="2" applyNumberFormat="1" applyFont="1" applyAlignment="1" applyProtection="1">
      <alignment horizontal="center" vertical="center"/>
      <protection hidden="1"/>
    </xf>
    <xf numFmtId="0" fontId="25" fillId="0" borderId="0" xfId="0" applyFont="1" applyAlignment="1" applyProtection="1">
      <alignment horizontal="left" vertical="top" wrapText="1"/>
      <protection hidden="1"/>
    </xf>
    <xf numFmtId="0" fontId="5" fillId="0" borderId="0" xfId="0" applyFont="1" applyAlignment="1" applyProtection="1">
      <alignment horizontal="center" vertical="center"/>
      <protection hidden="1"/>
    </xf>
    <xf numFmtId="0" fontId="15" fillId="0" borderId="3" xfId="0" applyFont="1" applyBorder="1" applyAlignment="1" applyProtection="1">
      <alignment horizontal="center" vertical="center" textRotation="90"/>
      <protection hidden="1"/>
    </xf>
    <xf numFmtId="165" fontId="8" fillId="0" borderId="0" xfId="0" applyNumberFormat="1" applyFont="1" applyAlignment="1" applyProtection="1">
      <alignment horizontal="center" vertical="center"/>
      <protection hidden="1"/>
    </xf>
    <xf numFmtId="0" fontId="5" fillId="0" borderId="3" xfId="0" applyFont="1" applyBorder="1" applyAlignment="1" applyProtection="1">
      <alignment horizontal="left" vertical="center" wrapText="1"/>
      <protection hidden="1"/>
    </xf>
    <xf numFmtId="0" fontId="5" fillId="0" borderId="3" xfId="0" applyFont="1" applyBorder="1" applyAlignment="1" applyProtection="1">
      <alignment horizontal="left" vertical="center"/>
      <protection hidden="1"/>
    </xf>
    <xf numFmtId="0" fontId="14" fillId="0" borderId="12" xfId="0" applyFont="1" applyBorder="1" applyAlignment="1" applyProtection="1">
      <alignment horizontal="center" vertical="center" textRotation="90" wrapText="1"/>
      <protection hidden="1"/>
    </xf>
    <xf numFmtId="0" fontId="14" fillId="0" borderId="11" xfId="0" applyFont="1" applyBorder="1" applyAlignment="1" applyProtection="1">
      <alignment horizontal="center" vertical="center" textRotation="90" wrapText="1"/>
      <protection hidden="1"/>
    </xf>
    <xf numFmtId="0" fontId="5" fillId="0" borderId="14" xfId="0" applyFont="1" applyBorder="1" applyAlignment="1" applyProtection="1">
      <alignment horizontal="left" vertical="center"/>
      <protection hidden="1"/>
    </xf>
    <xf numFmtId="168" fontId="8" fillId="4" borderId="0" xfId="0" applyNumberFormat="1" applyFont="1" applyFill="1" applyAlignment="1" applyProtection="1">
      <alignment horizontal="center" vertical="center"/>
      <protection locked="0"/>
    </xf>
    <xf numFmtId="0" fontId="19"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hidden="1"/>
    </xf>
    <xf numFmtId="0" fontId="19" fillId="0" borderId="0" xfId="0" applyFont="1" applyAlignment="1" applyProtection="1">
      <alignment vertical="top" wrapText="1"/>
      <protection hidden="1"/>
    </xf>
    <xf numFmtId="0" fontId="19" fillId="0" borderId="0" xfId="0" applyFont="1" applyAlignment="1" applyProtection="1">
      <alignment horizontal="center" vertical="top" wrapText="1"/>
      <protection hidden="1"/>
    </xf>
  </cellXfs>
  <cellStyles count="4">
    <cellStyle name="Dziesiętny" xfId="1" builtinId="3"/>
    <cellStyle name="Hiperłącze" xfId="3" builtinId="8"/>
    <cellStyle name="Normalny" xfId="0" builtinId="0"/>
    <cellStyle name="Standard 2" xfId="2" xr:uid="{00000000-0005-0000-0000-000003000000}"/>
  </cellStyles>
  <dxfs count="13">
    <dxf>
      <font>
        <b/>
        <i val="0"/>
        <color theme="0"/>
      </font>
      <fill>
        <patternFill>
          <bgColor rgb="FFFF0000"/>
        </patternFill>
      </fill>
    </dxf>
    <dxf>
      <fill>
        <patternFill>
          <bgColor rgb="FFFFC000"/>
        </patternFill>
      </fill>
    </dxf>
    <dxf>
      <font>
        <b/>
        <i val="0"/>
        <color theme="0"/>
      </font>
      <fill>
        <patternFill>
          <bgColor rgb="FFFF0000"/>
        </patternFill>
      </fill>
    </dxf>
    <dxf>
      <fill>
        <patternFill>
          <bgColor rgb="FFFFC000"/>
        </patternFill>
      </fill>
    </dxf>
    <dxf>
      <font>
        <b/>
        <i val="0"/>
        <color theme="0"/>
      </font>
      <fill>
        <patternFill>
          <bgColor rgb="FFFF0000"/>
        </patternFill>
      </fill>
    </dxf>
    <dxf>
      <font>
        <b/>
        <i val="0"/>
        <color theme="0"/>
      </font>
      <fill>
        <patternFill>
          <bgColor rgb="FFFF0000"/>
        </patternFill>
      </fill>
    </dxf>
    <dxf>
      <fill>
        <patternFill>
          <bgColor rgb="FFFFC000"/>
        </patternFill>
      </fill>
    </dxf>
    <dxf>
      <font>
        <b/>
        <i val="0"/>
        <color theme="0"/>
      </font>
      <fill>
        <patternFill>
          <bgColor rgb="FFFF0000"/>
        </patternFill>
      </fill>
    </dxf>
    <dxf>
      <font>
        <color theme="1"/>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2.jpeg"/></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461036021470615E-3"/>
          <c:y val="0.12146663900508646"/>
          <c:w val="0.8350852071860897"/>
          <c:h val="0.83562658432696579"/>
        </c:manualLayout>
      </c:layout>
      <c:barChart>
        <c:barDir val="bar"/>
        <c:grouping val="clustered"/>
        <c:varyColors val="0"/>
        <c:ser>
          <c:idx val="0"/>
          <c:order val="0"/>
          <c:spPr>
            <a:solidFill>
              <a:srgbClr val="92D050"/>
            </a:solidFill>
            <a:ln>
              <a:solidFill>
                <a:srgbClr val="92D050"/>
              </a:solidFill>
            </a:ln>
            <a:effectLst/>
          </c:spPr>
          <c:invertIfNegative val="0"/>
          <c:dLbls>
            <c:numFmt formatCode="[=0]&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Ringleitung!$R$20:$R$45</c:f>
              <c:strCache>
                <c:ptCount val="18"/>
                <c:pt idx="0">
                  <c:v>RINGLEITUNG LINKS</c:v>
                </c:pt>
                <c:pt idx="1">
                  <c:v>Ringleitungsabschnitt</c:v>
                </c:pt>
                <c:pt idx="2">
                  <c:v>Ringleitungsabschnitt</c:v>
                </c:pt>
                <c:pt idx="14">
                  <c:v>RINGLEITUNG RECHTS</c:v>
                </c:pt>
                <c:pt idx="15">
                  <c:v>Ringleitungsabschnitt</c:v>
                </c:pt>
                <c:pt idx="16">
                  <c:v>Ringleitungsabschnitt</c:v>
                </c:pt>
                <c:pt idx="17">
                  <c:v>Ringleitungsabschnitt</c:v>
                </c:pt>
              </c:strCache>
            </c:strRef>
          </c:cat>
          <c:val>
            <c:numRef>
              <c:f>Ringleitung!$AO$20:$AO$31</c:f>
              <c:numCache>
                <c:formatCode>0.000</c:formatCode>
                <c:ptCount val="12"/>
                <c:pt idx="0">
                  <c:v>0</c:v>
                </c:pt>
                <c:pt idx="1">
                  <c:v>1.4288229591966106E-2</c:v>
                </c:pt>
                <c:pt idx="2">
                  <c:v>2.0057584468349182E-2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B7-408B-824D-664E131ACB73}"/>
            </c:ext>
          </c:extLst>
        </c:ser>
        <c:dLbls>
          <c:showLegendKey val="0"/>
          <c:showVal val="0"/>
          <c:showCatName val="0"/>
          <c:showSerName val="0"/>
          <c:showPercent val="0"/>
          <c:showBubbleSize val="0"/>
        </c:dLbls>
        <c:gapWidth val="182"/>
        <c:axId val="522067256"/>
        <c:axId val="522065616"/>
      </c:barChart>
      <c:catAx>
        <c:axId val="522067256"/>
        <c:scaling>
          <c:orientation val="maxMin"/>
        </c:scaling>
        <c:delete val="1"/>
        <c:axPos val="l"/>
        <c:numFmt formatCode="General" sourceLinked="1"/>
        <c:majorTickMark val="none"/>
        <c:minorTickMark val="none"/>
        <c:tickLblPos val="nextTo"/>
        <c:crossAx val="522065616"/>
        <c:crosses val="autoZero"/>
        <c:auto val="1"/>
        <c:lblAlgn val="ctr"/>
        <c:lblOffset val="100"/>
        <c:noMultiLvlLbl val="0"/>
      </c:catAx>
      <c:valAx>
        <c:axId val="522065616"/>
        <c:scaling>
          <c:orientation val="minMax"/>
        </c:scaling>
        <c:delete val="1"/>
        <c:axPos val="b"/>
        <c:numFmt formatCode="0.000" sourceLinked="1"/>
        <c:majorTickMark val="none"/>
        <c:minorTickMark val="none"/>
        <c:tickLblPos val="nextTo"/>
        <c:crossAx val="52206725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blipFill>
              <a:blip xmlns:r="http://schemas.openxmlformats.org/officeDocument/2006/relationships" r:embed="rId1"/>
              <a:tile tx="0" ty="0" sx="100000" sy="100000" flip="none" algn="tl"/>
            </a:blipFill>
            <a:ln>
              <a:noFill/>
            </a:ln>
          </c:spPr>
          <c:dPt>
            <c:idx val="0"/>
            <c:bubble3D val="0"/>
            <c:spPr>
              <a:solidFill>
                <a:srgbClr val="92D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D24B-4869-94F6-4EE50DBCCBE2}"/>
              </c:ext>
            </c:extLst>
          </c:dPt>
          <c:dPt>
            <c:idx val="1"/>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24B-4869-94F6-4EE50DBCCBE2}"/>
              </c:ext>
            </c:extLst>
          </c:dPt>
          <c:dLbls>
            <c:dLbl>
              <c:idx val="0"/>
              <c:tx>
                <c:rich>
                  <a:bodyPr rot="0" spcFirstLastPara="1" vertOverflow="ellipsis" vert="horz" wrap="square" lIns="38100" tIns="19050" rIns="38100" bIns="19050" anchor="ctr" anchorCtr="0">
                    <a:noAutofit/>
                  </a:bodyPr>
                  <a:lstStyle/>
                  <a:p>
                    <a:pPr algn="ctr">
                      <a:defRPr sz="1000" b="0" i="0" u="none" strike="noStrike" kern="1200" baseline="0">
                        <a:solidFill>
                          <a:schemeClr val="lt1"/>
                        </a:solidFill>
                        <a:latin typeface="Arial" panose="020B0604020202020204" pitchFamily="34" charset="0"/>
                        <a:ea typeface="+mn-ea"/>
                        <a:cs typeface="Arial" panose="020B0604020202020204" pitchFamily="34" charset="0"/>
                      </a:defRPr>
                    </a:pPr>
                    <a:fld id="{F96A0E31-1CE5-4DD0-8EB8-56389D4AB087}" type="VALUE">
                      <a:rPr lang="en-US" sz="1200" b="0">
                        <a:solidFill>
                          <a:sysClr val="windowText" lastClr="000000"/>
                        </a:solidFill>
                        <a:latin typeface="Arial" panose="020B0604020202020204" pitchFamily="34" charset="0"/>
                        <a:cs typeface="Arial" panose="020B0604020202020204" pitchFamily="34" charset="0"/>
                      </a:rPr>
                      <a:pPr algn="ctr">
                        <a:defRPr sz="1000" b="0" i="0" u="none" strike="noStrike" kern="1200" baseline="0">
                          <a:solidFill>
                            <a:schemeClr val="lt1"/>
                          </a:solidFill>
                          <a:latin typeface="Arial" panose="020B0604020202020204" pitchFamily="34" charset="0"/>
                          <a:ea typeface="+mn-ea"/>
                          <a:cs typeface="Arial" panose="020B0604020202020204" pitchFamily="34" charset="0"/>
                        </a:defRPr>
                      </a:pPr>
                      <a:t>[WARTOŚĆ]</a:t>
                    </a:fld>
                    <a:r>
                      <a:rPr lang="en-US" sz="1200" b="0" baseline="0">
                        <a:solidFill>
                          <a:sysClr val="windowText" lastClr="000000"/>
                        </a:solidFill>
                        <a:latin typeface="Arial" panose="020B0604020202020204" pitchFamily="34" charset="0"/>
                        <a:cs typeface="Arial" panose="020B0604020202020204" pitchFamily="34" charset="0"/>
                      </a:rPr>
                      <a:t>; </a:t>
                    </a:r>
                    <a:fld id="{296CF929-2CFB-475B-90CE-360B3E793AE6}" type="PERCENTAGE">
                      <a:rPr lang="en-US" sz="1200" b="1" baseline="0">
                        <a:solidFill>
                          <a:sysClr val="windowText" lastClr="000000"/>
                        </a:solidFill>
                        <a:latin typeface="Arial" panose="020B0604020202020204" pitchFamily="34" charset="0"/>
                        <a:cs typeface="Arial" panose="020B0604020202020204" pitchFamily="34" charset="0"/>
                      </a:rPr>
                      <a:pPr algn="ctr">
                        <a:defRPr sz="1000" b="0" i="0" u="none" strike="noStrike" kern="1200" baseline="0">
                          <a:solidFill>
                            <a:schemeClr val="lt1"/>
                          </a:solidFill>
                          <a:latin typeface="Arial" panose="020B0604020202020204" pitchFamily="34" charset="0"/>
                          <a:ea typeface="+mn-ea"/>
                          <a:cs typeface="Arial" panose="020B0604020202020204" pitchFamily="34" charset="0"/>
                        </a:defRPr>
                      </a:pPr>
                      <a:t>[PROCENTOWE]</a:t>
                    </a:fld>
                    <a:endParaRPr lang="en-US" sz="1200" b="0" baseline="0">
                      <a:solidFill>
                        <a:sysClr val="windowText" lastClr="000000"/>
                      </a:solidFill>
                      <a:latin typeface="Arial" panose="020B0604020202020204" pitchFamily="34" charset="0"/>
                      <a:cs typeface="Arial" panose="020B0604020202020204" pitchFamily="34" charset="0"/>
                    </a:endParaRPr>
                  </a:p>
                </c:rich>
              </c:tx>
              <c:spPr>
                <a:noFill/>
                <a:ln>
                  <a:noFill/>
                </a:ln>
                <a:effectLst/>
              </c:spPr>
              <c:dLblPos val="ct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2-D24B-4869-94F6-4EE50DBCCBE2}"/>
                </c:ext>
              </c:extLst>
            </c:dLbl>
            <c:dLbl>
              <c:idx val="1"/>
              <c:tx>
                <c:rich>
                  <a:bodyPr rot="0" spcFirstLastPara="1" vertOverflow="ellipsis" vert="horz" wrap="square" lIns="38100" tIns="19050" rIns="38100" bIns="19050" anchor="ctr" anchorCtr="0">
                    <a:noAutofit/>
                  </a:bodyPr>
                  <a:lstStyle/>
                  <a:p>
                    <a:pPr algn="ct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CBA03896-A68C-48F8-B949-B9E39351D791}" type="VALUE">
                      <a:rPr lang="en-US" sz="1200" b="0">
                        <a:solidFill>
                          <a:sysClr val="windowText" lastClr="000000"/>
                        </a:solidFill>
                        <a:latin typeface="Arial" panose="020B0604020202020204" pitchFamily="34" charset="0"/>
                        <a:cs typeface="Arial" panose="020B0604020202020204" pitchFamily="34" charset="0"/>
                      </a:rPr>
                      <a:pPr algn="ct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t>[WARTOŚĆ]</a:t>
                    </a:fld>
                    <a:r>
                      <a:rPr lang="en-US" sz="1200" b="1" baseline="0">
                        <a:solidFill>
                          <a:sysClr val="windowText" lastClr="000000"/>
                        </a:solidFill>
                        <a:latin typeface="Arial" panose="020B0604020202020204" pitchFamily="34" charset="0"/>
                        <a:cs typeface="Arial" panose="020B0604020202020204" pitchFamily="34" charset="0"/>
                      </a:rPr>
                      <a:t>; </a:t>
                    </a:r>
                    <a:fld id="{01C599BB-B8D4-4826-9AC9-4D0C0A284706}" type="PERCENTAGE">
                      <a:rPr lang="en-US" sz="1200" b="1" baseline="0">
                        <a:solidFill>
                          <a:sysClr val="windowText" lastClr="000000"/>
                        </a:solidFill>
                        <a:latin typeface="Arial" panose="020B0604020202020204" pitchFamily="34" charset="0"/>
                        <a:cs typeface="Arial" panose="020B0604020202020204" pitchFamily="34" charset="0"/>
                      </a:rPr>
                      <a:pPr algn="ct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t>[PROCENTOWE]</a:t>
                    </a:fld>
                    <a:endParaRPr lang="en-US" sz="1200" b="1" baseline="0">
                      <a:solidFill>
                        <a:sysClr val="windowText" lastClr="000000"/>
                      </a:solidFill>
                      <a:latin typeface="Arial" panose="020B0604020202020204" pitchFamily="34" charset="0"/>
                      <a:cs typeface="Arial" panose="020B0604020202020204" pitchFamily="34" charset="0"/>
                    </a:endParaRPr>
                  </a:p>
                </c:rich>
              </c:tx>
              <c:spPr>
                <a:noFill/>
                <a:ln>
                  <a:noFill/>
                </a:ln>
                <a:effectLst/>
              </c:spPr>
              <c:dLblPos val="ct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D24B-4869-94F6-4EE50DBCCBE2}"/>
                </c:ext>
              </c:extLst>
            </c:dLbl>
            <c:spPr>
              <a:noFill/>
              <a:ln>
                <a:noFill/>
              </a:ln>
              <a:effectLst/>
            </c:spPr>
            <c:txPr>
              <a:bodyPr rot="0" spcFirstLastPara="1" vertOverflow="ellipsis" vert="horz" wrap="square" lIns="38100" tIns="19050" rIns="38100" bIns="19050" anchor="ctr" anchorCtr="0">
                <a:spAutoFit/>
              </a:bodyPr>
              <a:lstStyle/>
              <a:p>
                <a:pPr algn="ctr">
                  <a:defRPr sz="1000" b="0" i="0" u="none" strike="noStrike" kern="1200" baseline="0">
                    <a:solidFill>
                      <a:schemeClr val="lt1"/>
                    </a:solidFill>
                    <a:latin typeface="Arial" panose="020B0604020202020204" pitchFamily="34" charset="0"/>
                    <a:ea typeface="+mn-ea"/>
                    <a:cs typeface="Arial" panose="020B0604020202020204" pitchFamily="34" charset="0"/>
                  </a:defRPr>
                </a:pPr>
                <a:endParaRPr lang="de-DE"/>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Ringleitung!$AN$50:$AO$50</c:f>
              <c:numCache>
                <c:formatCode>0</c:formatCode>
                <c:ptCount val="2"/>
                <c:pt idx="0">
                  <c:v>2005.758446834918</c:v>
                </c:pt>
                <c:pt idx="1">
                  <c:v>1970.4554911927726</c:v>
                </c:pt>
              </c:numCache>
            </c:numRef>
          </c:val>
          <c:extLst>
            <c:ext xmlns:c16="http://schemas.microsoft.com/office/drawing/2014/chart" uri="{C3380CC4-5D6E-409C-BE32-E72D297353CC}">
              <c16:uniqueId val="{00000000-D24B-4869-94F6-4EE50DBCCBE2}"/>
            </c:ext>
          </c:extLst>
        </c:ser>
        <c:dLbls>
          <c:dLblPos val="inEnd"/>
          <c:showLegendKey val="0"/>
          <c:showVal val="0"/>
          <c:showCatName val="0"/>
          <c:showSerName val="0"/>
          <c:showPercent val="1"/>
          <c:showBubbleSize val="0"/>
          <c:showLeaderLines val="1"/>
        </c:dLbls>
        <c:firstSliceAng val="18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461036021470615E-3"/>
          <c:y val="0.12146663900508646"/>
          <c:w val="0.8350852071860897"/>
          <c:h val="0.83562658432696579"/>
        </c:manualLayout>
      </c:layout>
      <c:barChart>
        <c:barDir val="bar"/>
        <c:grouping val="clustered"/>
        <c:varyColors val="0"/>
        <c:ser>
          <c:idx val="0"/>
          <c:order val="0"/>
          <c:spPr>
            <a:solidFill>
              <a:srgbClr val="00B050"/>
            </a:solidFill>
            <a:ln>
              <a:solidFill>
                <a:srgbClr val="00B050"/>
              </a:solidFill>
            </a:ln>
            <a:effectLst/>
          </c:spPr>
          <c:invertIfNegative val="0"/>
          <c:dLbls>
            <c:numFmt formatCode="[=0]&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Ringleitung!$R$20:$R$45</c:f>
              <c:strCache>
                <c:ptCount val="18"/>
                <c:pt idx="0">
                  <c:v>RINGLEITUNG LINKS</c:v>
                </c:pt>
                <c:pt idx="1">
                  <c:v>Ringleitungsabschnitt</c:v>
                </c:pt>
                <c:pt idx="2">
                  <c:v>Ringleitungsabschnitt</c:v>
                </c:pt>
                <c:pt idx="14">
                  <c:v>RINGLEITUNG RECHTS</c:v>
                </c:pt>
                <c:pt idx="15">
                  <c:v>Ringleitungsabschnitt</c:v>
                </c:pt>
                <c:pt idx="16">
                  <c:v>Ringleitungsabschnitt</c:v>
                </c:pt>
                <c:pt idx="17">
                  <c:v>Ringleitungsabschnitt</c:v>
                </c:pt>
              </c:strCache>
            </c:strRef>
          </c:cat>
          <c:val>
            <c:numRef>
              <c:f>Ringleitung!$AO$34:$AO$45</c:f>
              <c:numCache>
                <c:formatCode>0.000</c:formatCode>
                <c:ptCount val="12"/>
                <c:pt idx="0">
                  <c:v>0</c:v>
                </c:pt>
                <c:pt idx="1">
                  <c:v>1.7082806875077485E-2</c:v>
                </c:pt>
                <c:pt idx="2">
                  <c:v>1.9610531616559158E-2</c:v>
                </c:pt>
                <c:pt idx="3">
                  <c:v>1.9704554911927727E-2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CB-410D-A634-4F2DFA5A4FA8}"/>
            </c:ext>
          </c:extLst>
        </c:ser>
        <c:dLbls>
          <c:showLegendKey val="0"/>
          <c:showVal val="0"/>
          <c:showCatName val="0"/>
          <c:showSerName val="0"/>
          <c:showPercent val="0"/>
          <c:showBubbleSize val="0"/>
        </c:dLbls>
        <c:gapWidth val="182"/>
        <c:axId val="522067256"/>
        <c:axId val="522065616"/>
      </c:barChart>
      <c:catAx>
        <c:axId val="522067256"/>
        <c:scaling>
          <c:orientation val="maxMin"/>
        </c:scaling>
        <c:delete val="1"/>
        <c:axPos val="l"/>
        <c:numFmt formatCode="General" sourceLinked="1"/>
        <c:majorTickMark val="none"/>
        <c:minorTickMark val="none"/>
        <c:tickLblPos val="nextTo"/>
        <c:crossAx val="522065616"/>
        <c:crosses val="autoZero"/>
        <c:auto val="1"/>
        <c:lblAlgn val="ctr"/>
        <c:lblOffset val="100"/>
        <c:noMultiLvlLbl val="0"/>
      </c:catAx>
      <c:valAx>
        <c:axId val="522065616"/>
        <c:scaling>
          <c:orientation val="minMax"/>
        </c:scaling>
        <c:delete val="1"/>
        <c:axPos val="b"/>
        <c:numFmt formatCode="0.000" sourceLinked="1"/>
        <c:majorTickMark val="none"/>
        <c:minorTickMark val="none"/>
        <c:tickLblPos val="nextTo"/>
        <c:crossAx val="52206725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461036021470615E-3"/>
          <c:y val="0.12146663900508646"/>
          <c:w val="0.8350852071860897"/>
          <c:h val="0.83562658432696579"/>
        </c:manualLayout>
      </c:layout>
      <c:barChart>
        <c:barDir val="bar"/>
        <c:grouping val="clustered"/>
        <c:varyColors val="0"/>
        <c:ser>
          <c:idx val="0"/>
          <c:order val="0"/>
          <c:spPr>
            <a:solidFill>
              <a:srgbClr val="92D050"/>
            </a:solidFill>
            <a:ln>
              <a:solidFill>
                <a:schemeClr val="accent1"/>
              </a:solidFill>
            </a:ln>
            <a:effectLst/>
          </c:spPr>
          <c:invertIfNegative val="0"/>
          <c:dLbls>
            <c:numFmt formatCode="[=0]&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Strangleitung!$R$20:$R$45</c:f>
              <c:strCache>
                <c:ptCount val="6"/>
                <c:pt idx="0">
                  <c:v>Rohrabschnitt</c:v>
                </c:pt>
                <c:pt idx="1">
                  <c:v>Rohrabschnitt</c:v>
                </c:pt>
                <c:pt idx="2">
                  <c:v>Rohrabschnitt</c:v>
                </c:pt>
                <c:pt idx="3">
                  <c:v>Rohrabschnitt</c:v>
                </c:pt>
                <c:pt idx="5">
                  <c:v>Stichleitung zu Z3</c:v>
                </c:pt>
              </c:strCache>
            </c:strRef>
          </c:cat>
          <c:val>
            <c:numRef>
              <c:f>Strangleitung!$AO$20:$AO$45</c:f>
              <c:numCache>
                <c:formatCode>0.000</c:formatCode>
                <c:ptCount val="26"/>
                <c:pt idx="0">
                  <c:v>3.7032498061934371E-2</c:v>
                </c:pt>
                <c:pt idx="1">
                  <c:v>6.7686593569889819E-2</c:v>
                </c:pt>
                <c:pt idx="2">
                  <c:v>8.197482316185592E-2</c:v>
                </c:pt>
                <c:pt idx="3">
                  <c:v>8.7744178038239001E-2</c:v>
                </c:pt>
                <c:pt idx="4">
                  <c:v>0</c:v>
                </c:pt>
                <c:pt idx="5">
                  <c:v>9.4194700365751998E-4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6CEA-4FEB-9B7D-83A9F1F19C91}"/>
            </c:ext>
          </c:extLst>
        </c:ser>
        <c:dLbls>
          <c:showLegendKey val="0"/>
          <c:showVal val="0"/>
          <c:showCatName val="0"/>
          <c:showSerName val="0"/>
          <c:showPercent val="0"/>
          <c:showBubbleSize val="0"/>
        </c:dLbls>
        <c:gapWidth val="182"/>
        <c:axId val="522067256"/>
        <c:axId val="522065616"/>
      </c:barChart>
      <c:catAx>
        <c:axId val="522067256"/>
        <c:scaling>
          <c:orientation val="maxMin"/>
        </c:scaling>
        <c:delete val="1"/>
        <c:axPos val="l"/>
        <c:numFmt formatCode="General" sourceLinked="1"/>
        <c:majorTickMark val="none"/>
        <c:minorTickMark val="none"/>
        <c:tickLblPos val="nextTo"/>
        <c:crossAx val="522065616"/>
        <c:crosses val="autoZero"/>
        <c:auto val="1"/>
        <c:lblAlgn val="ctr"/>
        <c:lblOffset val="100"/>
        <c:noMultiLvlLbl val="0"/>
      </c:catAx>
      <c:valAx>
        <c:axId val="522065616"/>
        <c:scaling>
          <c:orientation val="minMax"/>
        </c:scaling>
        <c:delete val="1"/>
        <c:axPos val="b"/>
        <c:numFmt formatCode="0.000" sourceLinked="1"/>
        <c:majorTickMark val="none"/>
        <c:minorTickMark val="none"/>
        <c:tickLblPos val="nextTo"/>
        <c:crossAx val="52206725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utzungsbedingungen!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hyperlink" Target="#Nutzungsbedingungen!A1"/><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hyperlink" Target="#Nutzungsbedingungen!A1"/><Relationship Id="rId2" Type="http://schemas.openxmlformats.org/officeDocument/2006/relationships/chart" Target="../charts/chart4.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EHAU RAUPEX'!A1"/></Relationships>
</file>

<file path=xl/drawings/drawing1.xml><?xml version="1.0" encoding="utf-8"?>
<xdr:wsDr xmlns:xdr="http://schemas.openxmlformats.org/drawingml/2006/spreadsheetDrawing" xmlns:a="http://schemas.openxmlformats.org/drawingml/2006/main">
  <xdr:twoCellAnchor editAs="oneCell">
    <xdr:from>
      <xdr:col>17</xdr:col>
      <xdr:colOff>392640</xdr:colOff>
      <xdr:row>1</xdr:row>
      <xdr:rowOff>9525</xdr:rowOff>
    </xdr:from>
    <xdr:to>
      <xdr:col>18</xdr:col>
      <xdr:colOff>1008816</xdr:colOff>
      <xdr:row>3</xdr:row>
      <xdr:rowOff>216250</xdr:rowOff>
    </xdr:to>
    <xdr:pic>
      <xdr:nvPicPr>
        <xdr:cNvPr id="30" name="Grafik 29">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stretch>
          <a:fillRect/>
        </a:stretch>
      </xdr:blipFill>
      <xdr:spPr>
        <a:xfrm>
          <a:off x="12765615" y="266700"/>
          <a:ext cx="1997301" cy="721075"/>
        </a:xfrm>
        <a:prstGeom prst="rect">
          <a:avLst/>
        </a:prstGeom>
      </xdr:spPr>
    </xdr:pic>
    <xdr:clientData/>
  </xdr:twoCellAnchor>
  <xdr:twoCellAnchor>
    <xdr:from>
      <xdr:col>4</xdr:col>
      <xdr:colOff>50800</xdr:colOff>
      <xdr:row>12</xdr:row>
      <xdr:rowOff>228600</xdr:rowOff>
    </xdr:from>
    <xdr:to>
      <xdr:col>14</xdr:col>
      <xdr:colOff>698500</xdr:colOff>
      <xdr:row>29</xdr:row>
      <xdr:rowOff>165100</xdr:rowOff>
    </xdr:to>
    <xdr:grpSp>
      <xdr:nvGrpSpPr>
        <xdr:cNvPr id="31" name="Gruppieren 30">
          <a:extLst>
            <a:ext uri="{FF2B5EF4-FFF2-40B4-BE49-F238E27FC236}">
              <a16:creationId xmlns:a16="http://schemas.microsoft.com/office/drawing/2014/main" id="{00000000-0008-0000-0000-00001F000000}"/>
            </a:ext>
          </a:extLst>
        </xdr:cNvPr>
        <xdr:cNvGrpSpPr/>
      </xdr:nvGrpSpPr>
      <xdr:grpSpPr>
        <a:xfrm>
          <a:off x="2616200" y="3314700"/>
          <a:ext cx="7734300" cy="4254500"/>
          <a:chOff x="3755776" y="3491360"/>
          <a:chExt cx="7557807" cy="4123984"/>
        </a:xfrm>
      </xdr:grpSpPr>
      <xdr:grpSp>
        <xdr:nvGrpSpPr>
          <xdr:cNvPr id="32" name="Gruppieren 31">
            <a:extLst>
              <a:ext uri="{FF2B5EF4-FFF2-40B4-BE49-F238E27FC236}">
                <a16:creationId xmlns:a16="http://schemas.microsoft.com/office/drawing/2014/main" id="{00000000-0008-0000-0000-000020000000}"/>
              </a:ext>
            </a:extLst>
          </xdr:cNvPr>
          <xdr:cNvGrpSpPr/>
        </xdr:nvGrpSpPr>
        <xdr:grpSpPr>
          <a:xfrm>
            <a:off x="3755776" y="3590749"/>
            <a:ext cx="7504890" cy="4024595"/>
            <a:chOff x="834776" y="3887082"/>
            <a:chExt cx="5607929" cy="2847437"/>
          </a:xfrm>
          <a:solidFill>
            <a:schemeClr val="bg1"/>
          </a:solidFill>
        </xdr:grpSpPr>
        <xdr:sp macro="" textlink="" fLocksText="0">
          <xdr:nvSpPr>
            <xdr:cNvPr id="39" name="Achteck 38">
              <a:extLst>
                <a:ext uri="{FF2B5EF4-FFF2-40B4-BE49-F238E27FC236}">
                  <a16:creationId xmlns:a16="http://schemas.microsoft.com/office/drawing/2014/main" id="{00000000-0008-0000-0000-000027000000}"/>
                </a:ext>
              </a:extLst>
            </xdr:cNvPr>
            <xdr:cNvSpPr/>
          </xdr:nvSpPr>
          <xdr:spPr bwMode="auto">
            <a:xfrm>
              <a:off x="1627868" y="5321002"/>
              <a:ext cx="276209" cy="270720"/>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H1</a:t>
              </a:r>
              <a:endParaRPr lang="de-DE" sz="1000" b="1"/>
            </a:p>
          </xdr:txBody>
        </xdr:sp>
        <xdr:sp macro="" textlink="" fLocksText="0">
          <xdr:nvSpPr>
            <xdr:cNvPr id="40" name="Achteck 39">
              <a:extLst>
                <a:ext uri="{FF2B5EF4-FFF2-40B4-BE49-F238E27FC236}">
                  <a16:creationId xmlns:a16="http://schemas.microsoft.com/office/drawing/2014/main" id="{00000000-0008-0000-0000-000028000000}"/>
                </a:ext>
              </a:extLst>
            </xdr:cNvPr>
            <xdr:cNvSpPr/>
          </xdr:nvSpPr>
          <xdr:spPr bwMode="auto">
            <a:xfrm>
              <a:off x="2983512" y="4221227"/>
              <a:ext cx="407187" cy="352836"/>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00" b="1"/>
                <a:t>R1</a:t>
              </a:r>
            </a:p>
          </xdr:txBody>
        </xdr:sp>
        <xdr:sp macro="" textlink="" fLocksText="0">
          <xdr:nvSpPr>
            <xdr:cNvPr id="42" name="Achteck 41">
              <a:extLst>
                <a:ext uri="{FF2B5EF4-FFF2-40B4-BE49-F238E27FC236}">
                  <a16:creationId xmlns:a16="http://schemas.microsoft.com/office/drawing/2014/main" id="{00000000-0008-0000-0000-00002A000000}"/>
                </a:ext>
              </a:extLst>
            </xdr:cNvPr>
            <xdr:cNvSpPr/>
          </xdr:nvSpPr>
          <xdr:spPr bwMode="auto">
            <a:xfrm>
              <a:off x="3013938" y="5181079"/>
              <a:ext cx="271334" cy="271471"/>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T1</a:t>
              </a:r>
              <a:endParaRPr lang="de-DE" sz="1000" b="1"/>
            </a:p>
          </xdr:txBody>
        </xdr:sp>
        <xdr:sp macro="" textlink="" fLocksText="0">
          <xdr:nvSpPr>
            <xdr:cNvPr id="43" name="Achteck 42">
              <a:extLst>
                <a:ext uri="{FF2B5EF4-FFF2-40B4-BE49-F238E27FC236}">
                  <a16:creationId xmlns:a16="http://schemas.microsoft.com/office/drawing/2014/main" id="{00000000-0008-0000-0000-00002B000000}"/>
                </a:ext>
              </a:extLst>
            </xdr:cNvPr>
            <xdr:cNvSpPr/>
          </xdr:nvSpPr>
          <xdr:spPr bwMode="auto">
            <a:xfrm>
              <a:off x="1952084" y="5651072"/>
              <a:ext cx="274584" cy="270722"/>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Z1</a:t>
              </a:r>
              <a:endParaRPr lang="de-DE" sz="1000" b="1"/>
            </a:p>
          </xdr:txBody>
        </xdr:sp>
        <xdr:cxnSp macro="">
          <xdr:nvCxnSpPr>
            <xdr:cNvPr id="47" name="Gerader Verbinder 46">
              <a:extLst>
                <a:ext uri="{FF2B5EF4-FFF2-40B4-BE49-F238E27FC236}">
                  <a16:creationId xmlns:a16="http://schemas.microsoft.com/office/drawing/2014/main" id="{00000000-0008-0000-0000-00002F000000}"/>
                </a:ext>
              </a:extLst>
            </xdr:cNvPr>
            <xdr:cNvCxnSpPr/>
          </xdr:nvCxnSpPr>
          <xdr:spPr bwMode="auto">
            <a:xfrm>
              <a:off x="1314279" y="5289560"/>
              <a:ext cx="1668699" cy="0"/>
            </a:xfrm>
            <a:prstGeom prst="line">
              <a:avLst/>
            </a:prstGeom>
            <a:grpFill/>
            <a:ln w="6350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Gerader Verbinder 48">
              <a:extLst>
                <a:ext uri="{FF2B5EF4-FFF2-40B4-BE49-F238E27FC236}">
                  <a16:creationId xmlns:a16="http://schemas.microsoft.com/office/drawing/2014/main" id="{00000000-0008-0000-0000-000031000000}"/>
                </a:ext>
              </a:extLst>
            </xdr:cNvPr>
            <xdr:cNvCxnSpPr>
              <a:endCxn id="40" idx="4"/>
            </xdr:cNvCxnSpPr>
          </xdr:nvCxnSpPr>
          <xdr:spPr bwMode="auto">
            <a:xfrm flipH="1" flipV="1">
              <a:off x="2983512" y="4470721"/>
              <a:ext cx="6404" cy="1687281"/>
            </a:xfrm>
            <a:prstGeom prst="line">
              <a:avLst/>
            </a:prstGeom>
            <a:grpFill/>
            <a:ln w="6350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0" name="Gerader Verbinder 49">
              <a:extLst>
                <a:ext uri="{FF2B5EF4-FFF2-40B4-BE49-F238E27FC236}">
                  <a16:creationId xmlns:a16="http://schemas.microsoft.com/office/drawing/2014/main" id="{00000000-0008-0000-0000-000032000000}"/>
                </a:ext>
              </a:extLst>
            </xdr:cNvPr>
            <xdr:cNvCxnSpPr/>
          </xdr:nvCxnSpPr>
          <xdr:spPr bwMode="auto">
            <a:xfrm flipV="1">
              <a:off x="2983512" y="6136686"/>
              <a:ext cx="2822278" cy="7213"/>
            </a:xfrm>
            <a:prstGeom prst="line">
              <a:avLst/>
            </a:prstGeom>
            <a:grpFill/>
            <a:ln w="6350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1" name="Gerader Verbinder 50">
              <a:extLst>
                <a:ext uri="{FF2B5EF4-FFF2-40B4-BE49-F238E27FC236}">
                  <a16:creationId xmlns:a16="http://schemas.microsoft.com/office/drawing/2014/main" id="{00000000-0008-0000-0000-000033000000}"/>
                </a:ext>
              </a:extLst>
            </xdr:cNvPr>
            <xdr:cNvCxnSpPr/>
          </xdr:nvCxnSpPr>
          <xdr:spPr bwMode="auto">
            <a:xfrm>
              <a:off x="2963165" y="4486009"/>
              <a:ext cx="2823680" cy="10055"/>
            </a:xfrm>
            <a:prstGeom prst="line">
              <a:avLst/>
            </a:prstGeom>
            <a:grpFill/>
            <a:ln w="6350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Gerader Verbinder 66">
              <a:extLst>
                <a:ext uri="{FF2B5EF4-FFF2-40B4-BE49-F238E27FC236}">
                  <a16:creationId xmlns:a16="http://schemas.microsoft.com/office/drawing/2014/main" id="{00000000-0008-0000-0000-000043000000}"/>
                </a:ext>
              </a:extLst>
            </xdr:cNvPr>
            <xdr:cNvCxnSpPr/>
          </xdr:nvCxnSpPr>
          <xdr:spPr bwMode="auto">
            <a:xfrm flipV="1">
              <a:off x="5785743" y="4484815"/>
              <a:ext cx="0" cy="1635741"/>
            </a:xfrm>
            <a:prstGeom prst="line">
              <a:avLst/>
            </a:prstGeom>
            <a:grpFill/>
            <a:ln w="6350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8" name="Gerader Verbinder 67">
              <a:extLst>
                <a:ext uri="{FF2B5EF4-FFF2-40B4-BE49-F238E27FC236}">
                  <a16:creationId xmlns:a16="http://schemas.microsoft.com/office/drawing/2014/main" id="{00000000-0008-0000-0000-000044000000}"/>
                </a:ext>
              </a:extLst>
            </xdr:cNvPr>
            <xdr:cNvCxnSpPr>
              <a:endCxn id="33" idx="2"/>
            </xdr:cNvCxnSpPr>
          </xdr:nvCxnSpPr>
          <xdr:spPr bwMode="auto">
            <a:xfrm flipV="1">
              <a:off x="5796080" y="5264560"/>
              <a:ext cx="338203" cy="294"/>
            </a:xfrm>
            <a:prstGeom prst="line">
              <a:avLst/>
            </a:prstGeom>
            <a:grpFill/>
            <a:ln w="3175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9" name="Rechteck 68">
              <a:extLst>
                <a:ext uri="{FF2B5EF4-FFF2-40B4-BE49-F238E27FC236}">
                  <a16:creationId xmlns:a16="http://schemas.microsoft.com/office/drawing/2014/main" id="{00000000-0008-0000-0000-000045000000}"/>
                </a:ext>
              </a:extLst>
            </xdr:cNvPr>
            <xdr:cNvSpPr/>
          </xdr:nvSpPr>
          <xdr:spPr bwMode="auto">
            <a:xfrm>
              <a:off x="834776" y="5111062"/>
              <a:ext cx="468607" cy="332248"/>
            </a:xfrm>
            <a:prstGeom prst="rect">
              <a:avLst/>
            </a:prstGeom>
            <a:grp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ctr"/>
              <a:r>
                <a:rPr lang="de-DE" sz="1100"/>
                <a:t>HIP</a:t>
              </a:r>
            </a:p>
          </xdr:txBody>
        </xdr:sp>
        <xdr:cxnSp macro="">
          <xdr:nvCxnSpPr>
            <xdr:cNvPr id="70" name="Gerader Verbinder 69">
              <a:extLst>
                <a:ext uri="{FF2B5EF4-FFF2-40B4-BE49-F238E27FC236}">
                  <a16:creationId xmlns:a16="http://schemas.microsoft.com/office/drawing/2014/main" id="{00000000-0008-0000-0000-000046000000}"/>
                </a:ext>
              </a:extLst>
            </xdr:cNvPr>
            <xdr:cNvCxnSpPr>
              <a:endCxn id="35" idx="0"/>
            </xdr:cNvCxnSpPr>
          </xdr:nvCxnSpPr>
          <xdr:spPr bwMode="auto">
            <a:xfrm flipH="1">
              <a:off x="2091582" y="5293238"/>
              <a:ext cx="264" cy="284311"/>
            </a:xfrm>
            <a:prstGeom prst="line">
              <a:avLst/>
            </a:prstGeom>
            <a:grpFill/>
            <a:ln w="3175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1" name="Gerader Verbinder 70">
              <a:extLst>
                <a:ext uri="{FF2B5EF4-FFF2-40B4-BE49-F238E27FC236}">
                  <a16:creationId xmlns:a16="http://schemas.microsoft.com/office/drawing/2014/main" id="{00000000-0008-0000-0000-000047000000}"/>
                </a:ext>
              </a:extLst>
            </xdr:cNvPr>
            <xdr:cNvCxnSpPr>
              <a:stCxn id="34" idx="4"/>
            </xdr:cNvCxnSpPr>
          </xdr:nvCxnSpPr>
          <xdr:spPr bwMode="auto">
            <a:xfrm>
              <a:off x="3851961" y="4146226"/>
              <a:ext cx="2407" cy="351963"/>
            </a:xfrm>
            <a:prstGeom prst="line">
              <a:avLst/>
            </a:prstGeom>
            <a:grpFill/>
            <a:ln w="3175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2" name="Gerader Verbinder 71">
              <a:extLst>
                <a:ext uri="{FF2B5EF4-FFF2-40B4-BE49-F238E27FC236}">
                  <a16:creationId xmlns:a16="http://schemas.microsoft.com/office/drawing/2014/main" id="{00000000-0008-0000-0000-000048000000}"/>
                </a:ext>
              </a:extLst>
            </xdr:cNvPr>
            <xdr:cNvCxnSpPr>
              <a:endCxn id="36" idx="0"/>
            </xdr:cNvCxnSpPr>
          </xdr:nvCxnSpPr>
          <xdr:spPr bwMode="auto">
            <a:xfrm flipH="1">
              <a:off x="3879142" y="6133173"/>
              <a:ext cx="3727" cy="259771"/>
            </a:xfrm>
            <a:prstGeom prst="line">
              <a:avLst/>
            </a:prstGeom>
            <a:grpFill/>
            <a:ln w="3175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3" name="Gerader Verbinder 72">
              <a:extLst>
                <a:ext uri="{FF2B5EF4-FFF2-40B4-BE49-F238E27FC236}">
                  <a16:creationId xmlns:a16="http://schemas.microsoft.com/office/drawing/2014/main" id="{00000000-0008-0000-0000-000049000000}"/>
                </a:ext>
              </a:extLst>
            </xdr:cNvPr>
            <xdr:cNvCxnSpPr>
              <a:endCxn id="38" idx="0"/>
            </xdr:cNvCxnSpPr>
          </xdr:nvCxnSpPr>
          <xdr:spPr bwMode="auto">
            <a:xfrm flipH="1">
              <a:off x="4818349" y="6133641"/>
              <a:ext cx="266" cy="264226"/>
            </a:xfrm>
            <a:prstGeom prst="line">
              <a:avLst/>
            </a:prstGeom>
            <a:grpFill/>
            <a:ln w="31750" cap="flat" cmpd="sng" algn="ctr">
              <a:solidFill>
                <a:srgbClr val="92D05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fLocksText="0">
          <xdr:nvSpPr>
            <xdr:cNvPr id="74" name="Achteck 73">
              <a:extLst>
                <a:ext uri="{FF2B5EF4-FFF2-40B4-BE49-F238E27FC236}">
                  <a16:creationId xmlns:a16="http://schemas.microsoft.com/office/drawing/2014/main" id="{00000000-0008-0000-0000-00004A000000}"/>
                </a:ext>
              </a:extLst>
            </xdr:cNvPr>
            <xdr:cNvSpPr/>
          </xdr:nvSpPr>
          <xdr:spPr bwMode="auto">
            <a:xfrm>
              <a:off x="5082143" y="4236887"/>
              <a:ext cx="277131" cy="187344"/>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00" b="1"/>
                <a:t>R2</a:t>
              </a:r>
            </a:p>
          </xdr:txBody>
        </xdr:sp>
        <xdr:sp macro="" textlink="" fLocksText="0">
          <xdr:nvSpPr>
            <xdr:cNvPr id="75" name="Achteck 74">
              <a:extLst>
                <a:ext uri="{FF2B5EF4-FFF2-40B4-BE49-F238E27FC236}">
                  <a16:creationId xmlns:a16="http://schemas.microsoft.com/office/drawing/2014/main" id="{00000000-0008-0000-0000-00004B000000}"/>
                </a:ext>
              </a:extLst>
            </xdr:cNvPr>
            <xdr:cNvSpPr/>
          </xdr:nvSpPr>
          <xdr:spPr bwMode="auto">
            <a:xfrm>
              <a:off x="5255580" y="6177244"/>
              <a:ext cx="409204" cy="352836"/>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00" b="1"/>
                <a:t>R3</a:t>
              </a:r>
            </a:p>
          </xdr:txBody>
        </xdr:sp>
        <xdr:sp macro="" textlink="" fLocksText="0">
          <xdr:nvSpPr>
            <xdr:cNvPr id="76" name="Achteck 75">
              <a:extLst>
                <a:ext uri="{FF2B5EF4-FFF2-40B4-BE49-F238E27FC236}">
                  <a16:creationId xmlns:a16="http://schemas.microsoft.com/office/drawing/2014/main" id="{00000000-0008-0000-0000-00004C000000}"/>
                </a:ext>
              </a:extLst>
            </xdr:cNvPr>
            <xdr:cNvSpPr/>
          </xdr:nvSpPr>
          <xdr:spPr bwMode="auto">
            <a:xfrm>
              <a:off x="4092168" y="6172916"/>
              <a:ext cx="407187" cy="352836"/>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00" b="1"/>
                <a:t>R4</a:t>
              </a:r>
            </a:p>
          </xdr:txBody>
        </xdr:sp>
        <xdr:sp macro="" textlink="" fLocksText="0">
          <xdr:nvSpPr>
            <xdr:cNvPr id="77" name="Achteck 76">
              <a:extLst>
                <a:ext uri="{FF2B5EF4-FFF2-40B4-BE49-F238E27FC236}">
                  <a16:creationId xmlns:a16="http://schemas.microsoft.com/office/drawing/2014/main" id="{00000000-0008-0000-0000-00004D000000}"/>
                </a:ext>
              </a:extLst>
            </xdr:cNvPr>
            <xdr:cNvSpPr/>
          </xdr:nvSpPr>
          <xdr:spPr bwMode="auto">
            <a:xfrm>
              <a:off x="3153989" y="6178417"/>
              <a:ext cx="407187" cy="352836"/>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00" b="1"/>
                <a:t>R5</a:t>
              </a:r>
            </a:p>
          </xdr:txBody>
        </xdr:sp>
        <xdr:sp macro="" textlink="" fLocksText="0">
          <xdr:nvSpPr>
            <xdr:cNvPr id="78" name="Achteck 77">
              <a:extLst>
                <a:ext uri="{FF2B5EF4-FFF2-40B4-BE49-F238E27FC236}">
                  <a16:creationId xmlns:a16="http://schemas.microsoft.com/office/drawing/2014/main" id="{00000000-0008-0000-0000-00004E000000}"/>
                </a:ext>
              </a:extLst>
            </xdr:cNvPr>
            <xdr:cNvSpPr/>
          </xdr:nvSpPr>
          <xdr:spPr bwMode="auto">
            <a:xfrm>
              <a:off x="2431449" y="5352570"/>
              <a:ext cx="294376" cy="261908"/>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H2</a:t>
              </a:r>
              <a:endParaRPr lang="de-DE" sz="1000" b="1"/>
            </a:p>
          </xdr:txBody>
        </xdr:sp>
        <xdr:sp macro="" textlink="" fLocksText="0">
          <xdr:nvSpPr>
            <xdr:cNvPr id="79" name="Achteck 78">
              <a:extLst>
                <a:ext uri="{FF2B5EF4-FFF2-40B4-BE49-F238E27FC236}">
                  <a16:creationId xmlns:a16="http://schemas.microsoft.com/office/drawing/2014/main" id="{00000000-0008-0000-0000-00004F000000}"/>
                </a:ext>
              </a:extLst>
            </xdr:cNvPr>
            <xdr:cNvSpPr/>
          </xdr:nvSpPr>
          <xdr:spPr bwMode="auto">
            <a:xfrm>
              <a:off x="3712218" y="3887082"/>
              <a:ext cx="274584" cy="271471"/>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Z2</a:t>
              </a:r>
              <a:endParaRPr lang="de-DE" sz="1000" b="1"/>
            </a:p>
          </xdr:txBody>
        </xdr:sp>
        <xdr:sp macro="" textlink="" fLocksText="0">
          <xdr:nvSpPr>
            <xdr:cNvPr id="80" name="Achteck 79">
              <a:extLst>
                <a:ext uri="{FF2B5EF4-FFF2-40B4-BE49-F238E27FC236}">
                  <a16:creationId xmlns:a16="http://schemas.microsoft.com/office/drawing/2014/main" id="{00000000-0008-0000-0000-000050000000}"/>
                </a:ext>
              </a:extLst>
            </xdr:cNvPr>
            <xdr:cNvSpPr/>
          </xdr:nvSpPr>
          <xdr:spPr bwMode="auto">
            <a:xfrm>
              <a:off x="4683721" y="6455818"/>
              <a:ext cx="274584" cy="271471"/>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Z5</a:t>
              </a:r>
              <a:endParaRPr lang="de-DE" sz="1000" b="1"/>
            </a:p>
          </xdr:txBody>
        </xdr:sp>
        <xdr:sp macro="" textlink="" fLocksText="0">
          <xdr:nvSpPr>
            <xdr:cNvPr id="81" name="Achteck 80">
              <a:extLst>
                <a:ext uri="{FF2B5EF4-FFF2-40B4-BE49-F238E27FC236}">
                  <a16:creationId xmlns:a16="http://schemas.microsoft.com/office/drawing/2014/main" id="{00000000-0008-0000-0000-000051000000}"/>
                </a:ext>
              </a:extLst>
            </xdr:cNvPr>
            <xdr:cNvSpPr/>
          </xdr:nvSpPr>
          <xdr:spPr bwMode="auto">
            <a:xfrm>
              <a:off x="3741550" y="6463048"/>
              <a:ext cx="274584" cy="271471"/>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Z4</a:t>
              </a:r>
              <a:endParaRPr lang="de-DE" sz="1000" b="1"/>
            </a:p>
          </xdr:txBody>
        </xdr:sp>
        <xdr:sp macro="" textlink="" fLocksText="0">
          <xdr:nvSpPr>
            <xdr:cNvPr id="82" name="Achteck 81">
              <a:extLst>
                <a:ext uri="{FF2B5EF4-FFF2-40B4-BE49-F238E27FC236}">
                  <a16:creationId xmlns:a16="http://schemas.microsoft.com/office/drawing/2014/main" id="{00000000-0008-0000-0000-000052000000}"/>
                </a:ext>
              </a:extLst>
            </xdr:cNvPr>
            <xdr:cNvSpPr/>
          </xdr:nvSpPr>
          <xdr:spPr bwMode="auto">
            <a:xfrm>
              <a:off x="6168121" y="5170985"/>
              <a:ext cx="274584" cy="271471"/>
            </a:xfrm>
            <a:prstGeom prst="octagon">
              <a:avLst/>
            </a:prstGeom>
            <a:grp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t" upright="1"/>
            <a:lstStyle/>
            <a:p>
              <a:pPr algn="ctr"/>
              <a:r>
                <a:rPr lang="de-DE" sz="1050" b="1"/>
                <a:t>Z3</a:t>
              </a:r>
              <a:endParaRPr lang="de-DE" sz="1000" b="1"/>
            </a:p>
          </xdr:txBody>
        </xdr:sp>
      </xdr:grpSp>
      <xdr:sp macro="" textlink="">
        <xdr:nvSpPr>
          <xdr:cNvPr id="33" name="Ellipse 32">
            <a:extLst>
              <a:ext uri="{FF2B5EF4-FFF2-40B4-BE49-F238E27FC236}">
                <a16:creationId xmlns:a16="http://schemas.microsoft.com/office/drawing/2014/main" id="{00000000-0008-0000-0000-000021000000}"/>
              </a:ext>
            </a:extLst>
          </xdr:cNvPr>
          <xdr:cNvSpPr/>
        </xdr:nvSpPr>
        <xdr:spPr bwMode="auto">
          <a:xfrm>
            <a:off x="10847916" y="5304855"/>
            <a:ext cx="465667" cy="465666"/>
          </a:xfrm>
          <a:prstGeom prst="ellipse">
            <a:avLst/>
          </a:prstGeom>
          <a:solidFill>
            <a:srgbClr val="FFFF00">
              <a:alpha val="3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34" name="Ellipse 33">
            <a:extLst>
              <a:ext uri="{FF2B5EF4-FFF2-40B4-BE49-F238E27FC236}">
                <a16:creationId xmlns:a16="http://schemas.microsoft.com/office/drawing/2014/main" id="{00000000-0008-0000-0000-000022000000}"/>
              </a:ext>
            </a:extLst>
          </xdr:cNvPr>
          <xdr:cNvSpPr/>
        </xdr:nvSpPr>
        <xdr:spPr bwMode="auto">
          <a:xfrm>
            <a:off x="7560732" y="3491360"/>
            <a:ext cx="465667" cy="465666"/>
          </a:xfrm>
          <a:prstGeom prst="ellipse">
            <a:avLst/>
          </a:prstGeom>
          <a:solidFill>
            <a:srgbClr val="FFFF00">
              <a:alpha val="3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35" name="Ellipse 34">
            <a:extLst>
              <a:ext uri="{FF2B5EF4-FFF2-40B4-BE49-F238E27FC236}">
                <a16:creationId xmlns:a16="http://schemas.microsoft.com/office/drawing/2014/main" id="{00000000-0008-0000-0000-000023000000}"/>
              </a:ext>
            </a:extLst>
          </xdr:cNvPr>
          <xdr:cNvSpPr/>
        </xdr:nvSpPr>
        <xdr:spPr bwMode="auto">
          <a:xfrm>
            <a:off x="5204882" y="5980071"/>
            <a:ext cx="465667" cy="465666"/>
          </a:xfrm>
          <a:prstGeom prst="ellipse">
            <a:avLst/>
          </a:prstGeom>
          <a:solidFill>
            <a:srgbClr val="FFFF00">
              <a:alpha val="3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36" name="Ellipse 35">
            <a:extLst>
              <a:ext uri="{FF2B5EF4-FFF2-40B4-BE49-F238E27FC236}">
                <a16:creationId xmlns:a16="http://schemas.microsoft.com/office/drawing/2014/main" id="{00000000-0008-0000-0000-000024000000}"/>
              </a:ext>
            </a:extLst>
          </xdr:cNvPr>
          <xdr:cNvSpPr/>
        </xdr:nvSpPr>
        <xdr:spPr bwMode="auto">
          <a:xfrm>
            <a:off x="7597108" y="7132560"/>
            <a:ext cx="465667" cy="465666"/>
          </a:xfrm>
          <a:prstGeom prst="ellipse">
            <a:avLst/>
          </a:prstGeom>
          <a:solidFill>
            <a:srgbClr val="FFFF00">
              <a:alpha val="3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sp macro="" textlink="">
        <xdr:nvSpPr>
          <xdr:cNvPr id="38" name="Ellipse 37">
            <a:extLst>
              <a:ext uri="{FF2B5EF4-FFF2-40B4-BE49-F238E27FC236}">
                <a16:creationId xmlns:a16="http://schemas.microsoft.com/office/drawing/2014/main" id="{00000000-0008-0000-0000-000026000000}"/>
              </a:ext>
            </a:extLst>
          </xdr:cNvPr>
          <xdr:cNvSpPr/>
        </xdr:nvSpPr>
        <xdr:spPr bwMode="auto">
          <a:xfrm>
            <a:off x="8854015" y="7139516"/>
            <a:ext cx="465667" cy="465666"/>
          </a:xfrm>
          <a:prstGeom prst="ellipse">
            <a:avLst/>
          </a:prstGeom>
          <a:solidFill>
            <a:srgbClr val="FFFF00">
              <a:alpha val="3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grpSp>
    <xdr:clientData/>
  </xdr:twoCellAnchor>
  <xdr:twoCellAnchor>
    <xdr:from>
      <xdr:col>17</xdr:col>
      <xdr:colOff>12700</xdr:colOff>
      <xdr:row>5</xdr:row>
      <xdr:rowOff>12700</xdr:rowOff>
    </xdr:from>
    <xdr:to>
      <xdr:col>18</xdr:col>
      <xdr:colOff>1371600</xdr:colOff>
      <xdr:row>8</xdr:row>
      <xdr:rowOff>228600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C17A7270-6CA1-2802-4F00-115DAE02F752}"/>
            </a:ext>
          </a:extLst>
        </xdr:cNvPr>
        <xdr:cNvSpPr/>
      </xdr:nvSpPr>
      <xdr:spPr bwMode="auto">
        <a:xfrm>
          <a:off x="12395200" y="1295400"/>
          <a:ext cx="2743200" cy="9906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204967</xdr:colOff>
      <xdr:row>3</xdr:row>
      <xdr:rowOff>190497</xdr:rowOff>
    </xdr:from>
    <xdr:ext cx="2002592" cy="714725"/>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483938" y="190497"/>
          <a:ext cx="2002592" cy="714725"/>
        </a:xfrm>
        <a:prstGeom prst="rect">
          <a:avLst/>
        </a:prstGeom>
      </xdr:spPr>
    </xdr:pic>
    <xdr:clientData/>
  </xdr:oneCellAnchor>
  <xdr:twoCellAnchor>
    <xdr:from>
      <xdr:col>24</xdr:col>
      <xdr:colOff>178593</xdr:colOff>
      <xdr:row>16</xdr:row>
      <xdr:rowOff>89296</xdr:rowOff>
    </xdr:from>
    <xdr:to>
      <xdr:col>24</xdr:col>
      <xdr:colOff>378762</xdr:colOff>
      <xdr:row>16</xdr:row>
      <xdr:rowOff>291703</xdr:rowOff>
    </xdr:to>
    <xdr:grpSp>
      <xdr:nvGrpSpPr>
        <xdr:cNvPr id="3" name="Gruppieren 2">
          <a:extLst>
            <a:ext uri="{FF2B5EF4-FFF2-40B4-BE49-F238E27FC236}">
              <a16:creationId xmlns:a16="http://schemas.microsoft.com/office/drawing/2014/main" id="{00000000-0008-0000-0100-000003000000}"/>
            </a:ext>
          </a:extLst>
        </xdr:cNvPr>
        <xdr:cNvGrpSpPr/>
      </xdr:nvGrpSpPr>
      <xdr:grpSpPr>
        <a:xfrm>
          <a:off x="5118893" y="2070496"/>
          <a:ext cx="200169" cy="202407"/>
          <a:chOff x="6356488" y="1144657"/>
          <a:chExt cx="238125" cy="200025"/>
        </a:xfrm>
      </xdr:grpSpPr>
      <xdr:sp macro="" textlink="">
        <xdr:nvSpPr>
          <xdr:cNvPr id="4" name="Line 50">
            <a:extLst>
              <a:ext uri="{FF2B5EF4-FFF2-40B4-BE49-F238E27FC236}">
                <a16:creationId xmlns:a16="http://schemas.microsoft.com/office/drawing/2014/main" id="{00000000-0008-0000-0100-000004000000}"/>
              </a:ext>
            </a:extLst>
          </xdr:cNvPr>
          <xdr:cNvSpPr>
            <a:spLocks noChangeShapeType="1"/>
          </xdr:cNvSpPr>
        </xdr:nvSpPr>
        <xdr:spPr bwMode="auto">
          <a:xfrm>
            <a:off x="6356488" y="1144657"/>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53">
            <a:extLst>
              <a:ext uri="{FF2B5EF4-FFF2-40B4-BE49-F238E27FC236}">
                <a16:creationId xmlns:a16="http://schemas.microsoft.com/office/drawing/2014/main" id="{00000000-0008-0000-0100-000005000000}"/>
              </a:ext>
            </a:extLst>
          </xdr:cNvPr>
          <xdr:cNvSpPr>
            <a:spLocks noChangeShapeType="1"/>
          </xdr:cNvSpPr>
        </xdr:nvSpPr>
        <xdr:spPr bwMode="auto">
          <a:xfrm rot="5400000">
            <a:off x="6494600" y="124467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25</xdr:col>
      <xdr:colOff>148829</xdr:colOff>
      <xdr:row>16</xdr:row>
      <xdr:rowOff>108349</xdr:rowOff>
    </xdr:from>
    <xdr:to>
      <xdr:col>25</xdr:col>
      <xdr:colOff>426316</xdr:colOff>
      <xdr:row>16</xdr:row>
      <xdr:rowOff>232173</xdr:rowOff>
    </xdr:to>
    <xdr:grpSp>
      <xdr:nvGrpSpPr>
        <xdr:cNvPr id="6" name="Gruppieren 5">
          <a:extLst>
            <a:ext uri="{FF2B5EF4-FFF2-40B4-BE49-F238E27FC236}">
              <a16:creationId xmlns:a16="http://schemas.microsoft.com/office/drawing/2014/main" id="{00000000-0008-0000-0100-000006000000}"/>
            </a:ext>
          </a:extLst>
        </xdr:cNvPr>
        <xdr:cNvGrpSpPr/>
      </xdr:nvGrpSpPr>
      <xdr:grpSpPr>
        <a:xfrm>
          <a:off x="5635229" y="2089549"/>
          <a:ext cx="277487" cy="123824"/>
          <a:chOff x="6346963" y="1449871"/>
          <a:chExt cx="416615" cy="180975"/>
        </a:xfrm>
      </xdr:grpSpPr>
      <xdr:sp macro="" textlink="">
        <xdr:nvSpPr>
          <xdr:cNvPr id="7" name="Line 54">
            <a:extLst>
              <a:ext uri="{FF2B5EF4-FFF2-40B4-BE49-F238E27FC236}">
                <a16:creationId xmlns:a16="http://schemas.microsoft.com/office/drawing/2014/main" id="{00000000-0008-0000-0100-000007000000}"/>
              </a:ext>
            </a:extLst>
          </xdr:cNvPr>
          <xdr:cNvSpPr>
            <a:spLocks noChangeShapeType="1"/>
          </xdr:cNvSpPr>
        </xdr:nvSpPr>
        <xdr:spPr bwMode="auto">
          <a:xfrm>
            <a:off x="6346963" y="1449871"/>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55">
            <a:extLst>
              <a:ext uri="{FF2B5EF4-FFF2-40B4-BE49-F238E27FC236}">
                <a16:creationId xmlns:a16="http://schemas.microsoft.com/office/drawing/2014/main" id="{00000000-0008-0000-0100-000008000000}"/>
              </a:ext>
            </a:extLst>
          </xdr:cNvPr>
          <xdr:cNvSpPr>
            <a:spLocks noChangeShapeType="1"/>
          </xdr:cNvSpPr>
        </xdr:nvSpPr>
        <xdr:spPr bwMode="auto">
          <a:xfrm rot="16200000" flipH="1">
            <a:off x="6583845" y="1451114"/>
            <a:ext cx="180975" cy="1784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26</xdr:col>
      <xdr:colOff>136921</xdr:colOff>
      <xdr:row>16</xdr:row>
      <xdr:rowOff>112899</xdr:rowOff>
    </xdr:from>
    <xdr:to>
      <xdr:col>26</xdr:col>
      <xdr:colOff>469178</xdr:colOff>
      <xdr:row>16</xdr:row>
      <xdr:rowOff>285750</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6169421" y="2094099"/>
          <a:ext cx="332257" cy="172851"/>
          <a:chOff x="6327913" y="1764610"/>
          <a:chExt cx="473765" cy="209550"/>
        </a:xfrm>
      </xdr:grpSpPr>
      <xdr:sp macro="" textlink="">
        <xdr:nvSpPr>
          <xdr:cNvPr id="10" name="Line 56">
            <a:extLst>
              <a:ext uri="{FF2B5EF4-FFF2-40B4-BE49-F238E27FC236}">
                <a16:creationId xmlns:a16="http://schemas.microsoft.com/office/drawing/2014/main" id="{00000000-0008-0000-0100-00000A000000}"/>
              </a:ext>
            </a:extLst>
          </xdr:cNvPr>
          <xdr:cNvSpPr>
            <a:spLocks noChangeShapeType="1"/>
          </xdr:cNvSpPr>
        </xdr:nvSpPr>
        <xdr:spPr bwMode="auto">
          <a:xfrm>
            <a:off x="6327913" y="176461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57">
            <a:extLst>
              <a:ext uri="{FF2B5EF4-FFF2-40B4-BE49-F238E27FC236}">
                <a16:creationId xmlns:a16="http://schemas.microsoft.com/office/drawing/2014/main" id="{00000000-0008-0000-0100-00000B000000}"/>
              </a:ext>
            </a:extLst>
          </xdr:cNvPr>
          <xdr:cNvSpPr>
            <a:spLocks noChangeShapeType="1"/>
          </xdr:cNvSpPr>
        </xdr:nvSpPr>
        <xdr:spPr bwMode="auto">
          <a:xfrm rot="5400000">
            <a:off x="6466025" y="1874148"/>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58">
            <a:extLst>
              <a:ext uri="{FF2B5EF4-FFF2-40B4-BE49-F238E27FC236}">
                <a16:creationId xmlns:a16="http://schemas.microsoft.com/office/drawing/2014/main" id="{00000000-0008-0000-0100-00000C000000}"/>
              </a:ext>
            </a:extLst>
          </xdr:cNvPr>
          <xdr:cNvSpPr>
            <a:spLocks noChangeShapeType="1"/>
          </xdr:cNvSpPr>
        </xdr:nvSpPr>
        <xdr:spPr bwMode="auto">
          <a:xfrm>
            <a:off x="6566038" y="1764610"/>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grpSp>
    <xdr:clientData/>
  </xdr:twoCellAnchor>
  <xdr:twoCellAnchor>
    <xdr:from>
      <xdr:col>27</xdr:col>
      <xdr:colOff>130969</xdr:colOff>
      <xdr:row>16</xdr:row>
      <xdr:rowOff>117172</xdr:rowOff>
    </xdr:from>
    <xdr:to>
      <xdr:col>27</xdr:col>
      <xdr:colOff>465607</xdr:colOff>
      <xdr:row>16</xdr:row>
      <xdr:rowOff>285750</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6734969" y="2098372"/>
          <a:ext cx="334638" cy="168578"/>
          <a:chOff x="6327913" y="2088874"/>
          <a:chExt cx="473765" cy="200025"/>
        </a:xfrm>
      </xdr:grpSpPr>
      <xdr:sp macro="" textlink="">
        <xdr:nvSpPr>
          <xdr:cNvPr id="14" name="Line 59">
            <a:extLst>
              <a:ext uri="{FF2B5EF4-FFF2-40B4-BE49-F238E27FC236}">
                <a16:creationId xmlns:a16="http://schemas.microsoft.com/office/drawing/2014/main" id="{00000000-0008-0000-0100-00000E000000}"/>
              </a:ext>
            </a:extLst>
          </xdr:cNvPr>
          <xdr:cNvSpPr>
            <a:spLocks noChangeShapeType="1"/>
          </xdr:cNvSpPr>
        </xdr:nvSpPr>
        <xdr:spPr bwMode="auto">
          <a:xfrm>
            <a:off x="6327913" y="2088874"/>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Line 60">
            <a:extLst>
              <a:ext uri="{FF2B5EF4-FFF2-40B4-BE49-F238E27FC236}">
                <a16:creationId xmlns:a16="http://schemas.microsoft.com/office/drawing/2014/main" id="{00000000-0008-0000-0100-00000F000000}"/>
              </a:ext>
            </a:extLst>
          </xdr:cNvPr>
          <xdr:cNvSpPr>
            <a:spLocks noChangeShapeType="1"/>
          </xdr:cNvSpPr>
        </xdr:nvSpPr>
        <xdr:spPr bwMode="auto">
          <a:xfrm rot="5400000">
            <a:off x="6466025" y="2188887"/>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sp macro="" textlink="">
        <xdr:nvSpPr>
          <xdr:cNvPr id="16" name="Line 61">
            <a:extLst>
              <a:ext uri="{FF2B5EF4-FFF2-40B4-BE49-F238E27FC236}">
                <a16:creationId xmlns:a16="http://schemas.microsoft.com/office/drawing/2014/main" id="{00000000-0008-0000-0100-000010000000}"/>
              </a:ext>
            </a:extLst>
          </xdr:cNvPr>
          <xdr:cNvSpPr>
            <a:spLocks noChangeShapeType="1"/>
          </xdr:cNvSpPr>
        </xdr:nvSpPr>
        <xdr:spPr bwMode="auto">
          <a:xfrm>
            <a:off x="6566038" y="2088874"/>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28</xdr:col>
      <xdr:colOff>154781</xdr:colOff>
      <xdr:row>16</xdr:row>
      <xdr:rowOff>117873</xdr:rowOff>
    </xdr:from>
    <xdr:to>
      <xdr:col>28</xdr:col>
      <xdr:colOff>493550</xdr:colOff>
      <xdr:row>16</xdr:row>
      <xdr:rowOff>297656</xdr:rowOff>
    </xdr:to>
    <xdr:grpSp>
      <xdr:nvGrpSpPr>
        <xdr:cNvPr id="17" name="Gruppieren 16">
          <a:extLst>
            <a:ext uri="{FF2B5EF4-FFF2-40B4-BE49-F238E27FC236}">
              <a16:creationId xmlns:a16="http://schemas.microsoft.com/office/drawing/2014/main" id="{00000000-0008-0000-0100-000011000000}"/>
            </a:ext>
          </a:extLst>
        </xdr:cNvPr>
        <xdr:cNvGrpSpPr/>
      </xdr:nvGrpSpPr>
      <xdr:grpSpPr>
        <a:xfrm>
          <a:off x="7342981" y="2099073"/>
          <a:ext cx="338769" cy="179783"/>
          <a:chOff x="6327913" y="2403613"/>
          <a:chExt cx="473765" cy="180975"/>
        </a:xfrm>
      </xdr:grpSpPr>
      <xdr:sp macro="" textlink="">
        <xdr:nvSpPr>
          <xdr:cNvPr id="18" name="Line 62">
            <a:extLst>
              <a:ext uri="{FF2B5EF4-FFF2-40B4-BE49-F238E27FC236}">
                <a16:creationId xmlns:a16="http://schemas.microsoft.com/office/drawing/2014/main" id="{00000000-0008-0000-0100-000012000000}"/>
              </a:ext>
            </a:extLst>
          </xdr:cNvPr>
          <xdr:cNvSpPr>
            <a:spLocks noChangeShapeType="1"/>
          </xdr:cNvSpPr>
        </xdr:nvSpPr>
        <xdr:spPr bwMode="auto">
          <a:xfrm>
            <a:off x="6327913" y="2403613"/>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19" name="Line 63">
            <a:extLst>
              <a:ext uri="{FF2B5EF4-FFF2-40B4-BE49-F238E27FC236}">
                <a16:creationId xmlns:a16="http://schemas.microsoft.com/office/drawing/2014/main" id="{00000000-0008-0000-0100-000013000000}"/>
              </a:ext>
            </a:extLst>
          </xdr:cNvPr>
          <xdr:cNvSpPr>
            <a:spLocks noChangeShapeType="1"/>
          </xdr:cNvSpPr>
        </xdr:nvSpPr>
        <xdr:spPr bwMode="auto">
          <a:xfrm rot="5400000">
            <a:off x="6475550" y="2494101"/>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20" name="Line 64">
            <a:extLst>
              <a:ext uri="{FF2B5EF4-FFF2-40B4-BE49-F238E27FC236}">
                <a16:creationId xmlns:a16="http://schemas.microsoft.com/office/drawing/2014/main" id="{00000000-0008-0000-0100-000014000000}"/>
              </a:ext>
            </a:extLst>
          </xdr:cNvPr>
          <xdr:cNvSpPr>
            <a:spLocks noChangeShapeType="1"/>
          </xdr:cNvSpPr>
        </xdr:nvSpPr>
        <xdr:spPr bwMode="auto">
          <a:xfrm>
            <a:off x="6566038" y="2403613"/>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29</xdr:col>
      <xdr:colOff>160734</xdr:colOff>
      <xdr:row>16</xdr:row>
      <xdr:rowOff>124806</xdr:rowOff>
    </xdr:from>
    <xdr:to>
      <xdr:col>29</xdr:col>
      <xdr:colOff>504686</xdr:colOff>
      <xdr:row>16</xdr:row>
      <xdr:rowOff>291704</xdr:rowOff>
    </xdr:to>
    <xdr:grpSp>
      <xdr:nvGrpSpPr>
        <xdr:cNvPr id="21" name="Gruppieren 20">
          <a:extLst>
            <a:ext uri="{FF2B5EF4-FFF2-40B4-BE49-F238E27FC236}">
              <a16:creationId xmlns:a16="http://schemas.microsoft.com/office/drawing/2014/main" id="{00000000-0008-0000-0100-000015000000}"/>
            </a:ext>
          </a:extLst>
        </xdr:cNvPr>
        <xdr:cNvGrpSpPr/>
      </xdr:nvGrpSpPr>
      <xdr:grpSpPr>
        <a:xfrm>
          <a:off x="7945834" y="2106006"/>
          <a:ext cx="343952" cy="166898"/>
          <a:chOff x="6308863" y="2708827"/>
          <a:chExt cx="473765" cy="219075"/>
        </a:xfrm>
      </xdr:grpSpPr>
      <xdr:sp macro="" textlink="">
        <xdr:nvSpPr>
          <xdr:cNvPr id="22" name="Line 65">
            <a:extLst>
              <a:ext uri="{FF2B5EF4-FFF2-40B4-BE49-F238E27FC236}">
                <a16:creationId xmlns:a16="http://schemas.microsoft.com/office/drawing/2014/main" id="{00000000-0008-0000-0100-000016000000}"/>
              </a:ext>
            </a:extLst>
          </xdr:cNvPr>
          <xdr:cNvSpPr>
            <a:spLocks noChangeShapeType="1"/>
          </xdr:cNvSpPr>
        </xdr:nvSpPr>
        <xdr:spPr bwMode="auto">
          <a:xfrm>
            <a:off x="6308863" y="2708827"/>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 name="Line 66">
            <a:extLst>
              <a:ext uri="{FF2B5EF4-FFF2-40B4-BE49-F238E27FC236}">
                <a16:creationId xmlns:a16="http://schemas.microsoft.com/office/drawing/2014/main" id="{00000000-0008-0000-0100-000017000000}"/>
              </a:ext>
            </a:extLst>
          </xdr:cNvPr>
          <xdr:cNvSpPr>
            <a:spLocks noChangeShapeType="1"/>
          </xdr:cNvSpPr>
        </xdr:nvSpPr>
        <xdr:spPr bwMode="auto">
          <a:xfrm rot="5400000">
            <a:off x="6437450" y="281836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4" name="Line 67">
            <a:extLst>
              <a:ext uri="{FF2B5EF4-FFF2-40B4-BE49-F238E27FC236}">
                <a16:creationId xmlns:a16="http://schemas.microsoft.com/office/drawing/2014/main" id="{00000000-0008-0000-0100-000018000000}"/>
              </a:ext>
            </a:extLst>
          </xdr:cNvPr>
          <xdr:cNvSpPr>
            <a:spLocks noChangeShapeType="1"/>
          </xdr:cNvSpPr>
        </xdr:nvSpPr>
        <xdr:spPr bwMode="auto">
          <a:xfrm>
            <a:off x="6546988" y="2708827"/>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clientData/>
  </xdr:twoCellAnchor>
  <xdr:twoCellAnchor>
    <xdr:from>
      <xdr:col>30</xdr:col>
      <xdr:colOff>160733</xdr:colOff>
      <xdr:row>16</xdr:row>
      <xdr:rowOff>77392</xdr:rowOff>
    </xdr:from>
    <xdr:to>
      <xdr:col>30</xdr:col>
      <xdr:colOff>422670</xdr:colOff>
      <xdr:row>16</xdr:row>
      <xdr:rowOff>208360</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8580833" y="2058592"/>
          <a:ext cx="261937" cy="130968"/>
          <a:chOff x="6280288" y="3023566"/>
          <a:chExt cx="559490" cy="171450"/>
        </a:xfrm>
      </xdr:grpSpPr>
      <xdr:sp macro="" textlink="">
        <xdr:nvSpPr>
          <xdr:cNvPr id="26" name="Line 68">
            <a:extLst>
              <a:ext uri="{FF2B5EF4-FFF2-40B4-BE49-F238E27FC236}">
                <a16:creationId xmlns:a16="http://schemas.microsoft.com/office/drawing/2014/main" id="{00000000-0008-0000-0100-00001A000000}"/>
              </a:ext>
            </a:extLst>
          </xdr:cNvPr>
          <xdr:cNvSpPr>
            <a:spLocks noChangeShapeType="1"/>
          </xdr:cNvSpPr>
        </xdr:nvSpPr>
        <xdr:spPr bwMode="auto">
          <a:xfrm>
            <a:off x="6280288" y="3023566"/>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69">
            <a:extLst>
              <a:ext uri="{FF2B5EF4-FFF2-40B4-BE49-F238E27FC236}">
                <a16:creationId xmlns:a16="http://schemas.microsoft.com/office/drawing/2014/main" id="{00000000-0008-0000-0100-00001B000000}"/>
              </a:ext>
            </a:extLst>
          </xdr:cNvPr>
          <xdr:cNvSpPr>
            <a:spLocks noChangeShapeType="1"/>
          </xdr:cNvSpPr>
        </xdr:nvSpPr>
        <xdr:spPr bwMode="auto">
          <a:xfrm>
            <a:off x="6499363" y="3023566"/>
            <a:ext cx="104775"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70">
            <a:extLst>
              <a:ext uri="{FF2B5EF4-FFF2-40B4-BE49-F238E27FC236}">
                <a16:creationId xmlns:a16="http://schemas.microsoft.com/office/drawing/2014/main" id="{00000000-0008-0000-0100-00001C000000}"/>
              </a:ext>
            </a:extLst>
          </xdr:cNvPr>
          <xdr:cNvSpPr>
            <a:spLocks noChangeShapeType="1"/>
          </xdr:cNvSpPr>
        </xdr:nvSpPr>
        <xdr:spPr bwMode="auto">
          <a:xfrm>
            <a:off x="6594613" y="3080716"/>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71">
            <a:extLst>
              <a:ext uri="{FF2B5EF4-FFF2-40B4-BE49-F238E27FC236}">
                <a16:creationId xmlns:a16="http://schemas.microsoft.com/office/drawing/2014/main" id="{00000000-0008-0000-0100-00001D000000}"/>
              </a:ext>
            </a:extLst>
          </xdr:cNvPr>
          <xdr:cNvSpPr>
            <a:spLocks noChangeShapeType="1"/>
          </xdr:cNvSpPr>
        </xdr:nvSpPr>
        <xdr:spPr bwMode="auto">
          <a:xfrm flipH="1">
            <a:off x="6594613" y="3128341"/>
            <a:ext cx="2451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72">
            <a:extLst>
              <a:ext uri="{FF2B5EF4-FFF2-40B4-BE49-F238E27FC236}">
                <a16:creationId xmlns:a16="http://schemas.microsoft.com/office/drawing/2014/main" id="{00000000-0008-0000-0100-00001E000000}"/>
              </a:ext>
            </a:extLst>
          </xdr:cNvPr>
          <xdr:cNvSpPr>
            <a:spLocks noChangeShapeType="1"/>
          </xdr:cNvSpPr>
        </xdr:nvSpPr>
        <xdr:spPr bwMode="auto">
          <a:xfrm flipH="1">
            <a:off x="6499363" y="3128341"/>
            <a:ext cx="952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73">
            <a:extLst>
              <a:ext uri="{FF2B5EF4-FFF2-40B4-BE49-F238E27FC236}">
                <a16:creationId xmlns:a16="http://schemas.microsoft.com/office/drawing/2014/main" id="{00000000-0008-0000-0100-00001F000000}"/>
              </a:ext>
            </a:extLst>
          </xdr:cNvPr>
          <xdr:cNvSpPr>
            <a:spLocks noChangeShapeType="1"/>
          </xdr:cNvSpPr>
        </xdr:nvSpPr>
        <xdr:spPr bwMode="auto">
          <a:xfrm>
            <a:off x="6280288" y="3195016"/>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178594</xdr:colOff>
      <xdr:row>16</xdr:row>
      <xdr:rowOff>89298</xdr:rowOff>
    </xdr:from>
    <xdr:to>
      <xdr:col>31</xdr:col>
      <xdr:colOff>416998</xdr:colOff>
      <xdr:row>16</xdr:row>
      <xdr:rowOff>238126</xdr:rowOff>
    </xdr:to>
    <xdr:grpSp>
      <xdr:nvGrpSpPr>
        <xdr:cNvPr id="32" name="Gruppieren 31">
          <a:extLst>
            <a:ext uri="{FF2B5EF4-FFF2-40B4-BE49-F238E27FC236}">
              <a16:creationId xmlns:a16="http://schemas.microsoft.com/office/drawing/2014/main" id="{00000000-0008-0000-0100-000020000000}"/>
            </a:ext>
          </a:extLst>
        </xdr:cNvPr>
        <xdr:cNvGrpSpPr/>
      </xdr:nvGrpSpPr>
      <xdr:grpSpPr>
        <a:xfrm>
          <a:off x="8915400" y="2070498"/>
          <a:ext cx="0" cy="148828"/>
          <a:chOff x="6299338" y="3338305"/>
          <a:chExt cx="540440" cy="171450"/>
        </a:xfrm>
      </xdr:grpSpPr>
      <xdr:sp macro="" textlink="">
        <xdr:nvSpPr>
          <xdr:cNvPr id="33" name="Line 74">
            <a:extLst>
              <a:ext uri="{FF2B5EF4-FFF2-40B4-BE49-F238E27FC236}">
                <a16:creationId xmlns:a16="http://schemas.microsoft.com/office/drawing/2014/main" id="{00000000-0008-0000-0100-000021000000}"/>
              </a:ext>
            </a:extLst>
          </xdr:cNvPr>
          <xdr:cNvSpPr>
            <a:spLocks noChangeShapeType="1"/>
          </xdr:cNvSpPr>
        </xdr:nvSpPr>
        <xdr:spPr bwMode="auto">
          <a:xfrm>
            <a:off x="6299338" y="33383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77">
            <a:extLst>
              <a:ext uri="{FF2B5EF4-FFF2-40B4-BE49-F238E27FC236}">
                <a16:creationId xmlns:a16="http://schemas.microsoft.com/office/drawing/2014/main" id="{00000000-0008-0000-0100-000022000000}"/>
              </a:ext>
            </a:extLst>
          </xdr:cNvPr>
          <xdr:cNvSpPr>
            <a:spLocks noChangeShapeType="1"/>
          </xdr:cNvSpPr>
        </xdr:nvSpPr>
        <xdr:spPr bwMode="auto">
          <a:xfrm>
            <a:off x="6839778" y="33383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 name="Line 78">
            <a:extLst>
              <a:ext uri="{FF2B5EF4-FFF2-40B4-BE49-F238E27FC236}">
                <a16:creationId xmlns:a16="http://schemas.microsoft.com/office/drawing/2014/main" id="{00000000-0008-0000-0100-000023000000}"/>
              </a:ext>
            </a:extLst>
          </xdr:cNvPr>
          <xdr:cNvSpPr>
            <a:spLocks noChangeShapeType="1"/>
          </xdr:cNvSpPr>
        </xdr:nvSpPr>
        <xdr:spPr bwMode="auto">
          <a:xfrm>
            <a:off x="6299338" y="3338305"/>
            <a:ext cx="54044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79">
            <a:extLst>
              <a:ext uri="{FF2B5EF4-FFF2-40B4-BE49-F238E27FC236}">
                <a16:creationId xmlns:a16="http://schemas.microsoft.com/office/drawing/2014/main" id="{00000000-0008-0000-0100-000024000000}"/>
              </a:ext>
            </a:extLst>
          </xdr:cNvPr>
          <xdr:cNvSpPr>
            <a:spLocks noChangeShapeType="1"/>
          </xdr:cNvSpPr>
        </xdr:nvSpPr>
        <xdr:spPr bwMode="auto">
          <a:xfrm flipV="1">
            <a:off x="6299338" y="3338305"/>
            <a:ext cx="54044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80">
            <a:extLst>
              <a:ext uri="{FF2B5EF4-FFF2-40B4-BE49-F238E27FC236}">
                <a16:creationId xmlns:a16="http://schemas.microsoft.com/office/drawing/2014/main" id="{00000000-0008-0000-0100-000025000000}"/>
              </a:ext>
            </a:extLst>
          </xdr:cNvPr>
          <xdr:cNvSpPr>
            <a:spLocks noChangeShapeType="1"/>
          </xdr:cNvSpPr>
        </xdr:nvSpPr>
        <xdr:spPr bwMode="auto">
          <a:xfrm>
            <a:off x="6566038" y="3338305"/>
            <a:ext cx="0" cy="1714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178594</xdr:colOff>
      <xdr:row>16</xdr:row>
      <xdr:rowOff>107157</xdr:rowOff>
    </xdr:from>
    <xdr:to>
      <xdr:col>32</xdr:col>
      <xdr:colOff>410764</xdr:colOff>
      <xdr:row>16</xdr:row>
      <xdr:rowOff>226219</xdr:rowOff>
    </xdr:to>
    <xdr:grpSp>
      <xdr:nvGrpSpPr>
        <xdr:cNvPr id="38" name="Gruppieren 37">
          <a:extLst>
            <a:ext uri="{FF2B5EF4-FFF2-40B4-BE49-F238E27FC236}">
              <a16:creationId xmlns:a16="http://schemas.microsoft.com/office/drawing/2014/main" id="{00000000-0008-0000-0100-000026000000}"/>
            </a:ext>
          </a:extLst>
        </xdr:cNvPr>
        <xdr:cNvGrpSpPr/>
      </xdr:nvGrpSpPr>
      <xdr:grpSpPr>
        <a:xfrm>
          <a:off x="8915400" y="2088357"/>
          <a:ext cx="0" cy="119062"/>
          <a:chOff x="6356709" y="3665105"/>
          <a:chExt cx="542461" cy="163945"/>
        </a:xfrm>
      </xdr:grpSpPr>
      <xdr:sp macro="" textlink="">
        <xdr:nvSpPr>
          <xdr:cNvPr id="39" name="Line 81">
            <a:extLst>
              <a:ext uri="{FF2B5EF4-FFF2-40B4-BE49-F238E27FC236}">
                <a16:creationId xmlns:a16="http://schemas.microsoft.com/office/drawing/2014/main" id="{00000000-0008-0000-0100-000027000000}"/>
              </a:ext>
            </a:extLst>
          </xdr:cNvPr>
          <xdr:cNvSpPr>
            <a:spLocks noChangeShapeType="1"/>
          </xdr:cNvSpPr>
        </xdr:nvSpPr>
        <xdr:spPr bwMode="auto">
          <a:xfrm>
            <a:off x="6360144" y="366712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82">
            <a:extLst>
              <a:ext uri="{FF2B5EF4-FFF2-40B4-BE49-F238E27FC236}">
                <a16:creationId xmlns:a16="http://schemas.microsoft.com/office/drawing/2014/main" id="{00000000-0008-0000-0100-000028000000}"/>
              </a:ext>
            </a:extLst>
          </xdr:cNvPr>
          <xdr:cNvSpPr>
            <a:spLocks noChangeShapeType="1"/>
          </xdr:cNvSpPr>
        </xdr:nvSpPr>
        <xdr:spPr bwMode="auto">
          <a:xfrm>
            <a:off x="6899170" y="36651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83">
            <a:extLst>
              <a:ext uri="{FF2B5EF4-FFF2-40B4-BE49-F238E27FC236}">
                <a16:creationId xmlns:a16="http://schemas.microsoft.com/office/drawing/2014/main" id="{00000000-0008-0000-0100-000029000000}"/>
              </a:ext>
            </a:extLst>
          </xdr:cNvPr>
          <xdr:cNvSpPr>
            <a:spLocks noChangeShapeType="1"/>
          </xdr:cNvSpPr>
        </xdr:nvSpPr>
        <xdr:spPr bwMode="auto">
          <a:xfrm>
            <a:off x="6356709" y="3665105"/>
            <a:ext cx="542461"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84">
            <a:extLst>
              <a:ext uri="{FF2B5EF4-FFF2-40B4-BE49-F238E27FC236}">
                <a16:creationId xmlns:a16="http://schemas.microsoft.com/office/drawing/2014/main" id="{00000000-0008-0000-0100-00002A000000}"/>
              </a:ext>
            </a:extLst>
          </xdr:cNvPr>
          <xdr:cNvSpPr>
            <a:spLocks noChangeShapeType="1"/>
          </xdr:cNvSpPr>
        </xdr:nvSpPr>
        <xdr:spPr bwMode="auto">
          <a:xfrm flipV="1">
            <a:off x="6356709" y="3665105"/>
            <a:ext cx="542461"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Oval 85">
            <a:extLst>
              <a:ext uri="{FF2B5EF4-FFF2-40B4-BE49-F238E27FC236}">
                <a16:creationId xmlns:a16="http://schemas.microsoft.com/office/drawing/2014/main" id="{00000000-0008-0000-0100-00002B000000}"/>
              </a:ext>
            </a:extLst>
          </xdr:cNvPr>
          <xdr:cNvSpPr>
            <a:spLocks noChangeArrowheads="1"/>
          </xdr:cNvSpPr>
        </xdr:nvSpPr>
        <xdr:spPr bwMode="auto">
          <a:xfrm>
            <a:off x="6549270" y="3684155"/>
            <a:ext cx="154049" cy="1428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41</xdr:col>
      <xdr:colOff>59377</xdr:colOff>
      <xdr:row>17</xdr:row>
      <xdr:rowOff>63500</xdr:rowOff>
    </xdr:from>
    <xdr:to>
      <xdr:col>43</xdr:col>
      <xdr:colOff>734786</xdr:colOff>
      <xdr:row>31</xdr:row>
      <xdr:rowOff>152401</xdr:rowOff>
    </xdr:to>
    <xdr:graphicFrame macro="">
      <xdr:nvGraphicFramePr>
        <xdr:cNvPr id="44" name="Diagramm 4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428625</xdr:colOff>
      <xdr:row>45</xdr:row>
      <xdr:rowOff>57150</xdr:rowOff>
    </xdr:from>
    <xdr:to>
      <xdr:col>43</xdr:col>
      <xdr:colOff>695325</xdr:colOff>
      <xdr:row>53</xdr:row>
      <xdr:rowOff>123825</xdr:rowOff>
    </xdr:to>
    <xdr:graphicFrame macro="">
      <xdr:nvGraphicFramePr>
        <xdr:cNvPr id="48" name="Diagramm 47">
          <a:extLst>
            <a:ext uri="{FF2B5EF4-FFF2-40B4-BE49-F238E27FC236}">
              <a16:creationId xmlns:a16="http://schemas.microsoft.com/office/drawing/2014/main" id="{00000000-0008-0000-01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76200</xdr:colOff>
      <xdr:row>31</xdr:row>
      <xdr:rowOff>50800</xdr:rowOff>
    </xdr:from>
    <xdr:to>
      <xdr:col>43</xdr:col>
      <xdr:colOff>751609</xdr:colOff>
      <xdr:row>45</xdr:row>
      <xdr:rowOff>152400</xdr:rowOff>
    </xdr:to>
    <xdr:graphicFrame macro="">
      <xdr:nvGraphicFramePr>
        <xdr:cNvPr id="154" name="Diagramm 153">
          <a:extLst>
            <a:ext uri="{FF2B5EF4-FFF2-40B4-BE49-F238E27FC236}">
              <a16:creationId xmlns:a16="http://schemas.microsoft.com/office/drawing/2014/main" id="{00000000-0008-0000-01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12700</xdr:colOff>
      <xdr:row>4</xdr:row>
      <xdr:rowOff>12700</xdr:rowOff>
    </xdr:from>
    <xdr:to>
      <xdr:col>38</xdr:col>
      <xdr:colOff>622300</xdr:colOff>
      <xdr:row>8</xdr:row>
      <xdr:rowOff>165100</xdr:rowOff>
    </xdr:to>
    <xdr:sp macro="" textlink="">
      <xdr:nvSpPr>
        <xdr:cNvPr id="45" name="Rechteck 44">
          <a:hlinkClick xmlns:r="http://schemas.openxmlformats.org/officeDocument/2006/relationships" r:id="rId5"/>
          <a:extLst>
            <a:ext uri="{FF2B5EF4-FFF2-40B4-BE49-F238E27FC236}">
              <a16:creationId xmlns:a16="http://schemas.microsoft.com/office/drawing/2014/main" id="{3DCA184C-1069-46F2-86B7-D4E1A61B470F}"/>
            </a:ext>
          </a:extLst>
        </xdr:cNvPr>
        <xdr:cNvSpPr/>
      </xdr:nvSpPr>
      <xdr:spPr bwMode="auto">
        <a:xfrm>
          <a:off x="10058400" y="203200"/>
          <a:ext cx="2540000" cy="9144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40</xdr:col>
      <xdr:colOff>196895</xdr:colOff>
      <xdr:row>3</xdr:row>
      <xdr:rowOff>190498</xdr:rowOff>
    </xdr:from>
    <xdr:to>
      <xdr:col>43</xdr:col>
      <xdr:colOff>516737</xdr:colOff>
      <xdr:row>7</xdr:row>
      <xdr:rowOff>143223</xdr:rowOff>
    </xdr:to>
    <xdr:pic>
      <xdr:nvPicPr>
        <xdr:cNvPr id="14" name="Grafik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tretch>
          <a:fillRect/>
        </a:stretch>
      </xdr:blipFill>
      <xdr:spPr>
        <a:xfrm>
          <a:off x="14117002" y="190498"/>
          <a:ext cx="2002592" cy="714725"/>
        </a:xfrm>
        <a:prstGeom prst="rect">
          <a:avLst/>
        </a:prstGeom>
      </xdr:spPr>
    </xdr:pic>
    <xdr:clientData/>
  </xdr:twoCellAnchor>
  <xdr:twoCellAnchor>
    <xdr:from>
      <xdr:col>24</xdr:col>
      <xdr:colOff>178593</xdr:colOff>
      <xdr:row>16</xdr:row>
      <xdr:rowOff>89296</xdr:rowOff>
    </xdr:from>
    <xdr:to>
      <xdr:col>24</xdr:col>
      <xdr:colOff>378762</xdr:colOff>
      <xdr:row>16</xdr:row>
      <xdr:rowOff>291703</xdr:rowOff>
    </xdr:to>
    <xdr:grpSp>
      <xdr:nvGrpSpPr>
        <xdr:cNvPr id="2" name="Gruppieren 1">
          <a:extLst>
            <a:ext uri="{FF2B5EF4-FFF2-40B4-BE49-F238E27FC236}">
              <a16:creationId xmlns:a16="http://schemas.microsoft.com/office/drawing/2014/main" id="{00000000-0008-0000-0200-000002000000}"/>
            </a:ext>
          </a:extLst>
        </xdr:cNvPr>
        <xdr:cNvGrpSpPr/>
      </xdr:nvGrpSpPr>
      <xdr:grpSpPr>
        <a:xfrm>
          <a:off x="5118893" y="2070496"/>
          <a:ext cx="200169" cy="202407"/>
          <a:chOff x="6356488" y="1144657"/>
          <a:chExt cx="238125" cy="200025"/>
        </a:xfrm>
      </xdr:grpSpPr>
      <xdr:sp macro="" textlink="">
        <xdr:nvSpPr>
          <xdr:cNvPr id="1074" name="Line 50">
            <a:extLst>
              <a:ext uri="{FF2B5EF4-FFF2-40B4-BE49-F238E27FC236}">
                <a16:creationId xmlns:a16="http://schemas.microsoft.com/office/drawing/2014/main" id="{00000000-0008-0000-0200-000032040000}"/>
              </a:ext>
            </a:extLst>
          </xdr:cNvPr>
          <xdr:cNvSpPr>
            <a:spLocks noChangeShapeType="1"/>
          </xdr:cNvSpPr>
        </xdr:nvSpPr>
        <xdr:spPr bwMode="auto">
          <a:xfrm>
            <a:off x="6356488" y="1144657"/>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77" name="Line 53">
            <a:extLst>
              <a:ext uri="{FF2B5EF4-FFF2-40B4-BE49-F238E27FC236}">
                <a16:creationId xmlns:a16="http://schemas.microsoft.com/office/drawing/2014/main" id="{00000000-0008-0000-0200-000035040000}"/>
              </a:ext>
            </a:extLst>
          </xdr:cNvPr>
          <xdr:cNvSpPr>
            <a:spLocks noChangeShapeType="1"/>
          </xdr:cNvSpPr>
        </xdr:nvSpPr>
        <xdr:spPr bwMode="auto">
          <a:xfrm rot="5400000">
            <a:off x="6494600" y="124467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25</xdr:col>
      <xdr:colOff>148829</xdr:colOff>
      <xdr:row>16</xdr:row>
      <xdr:rowOff>108349</xdr:rowOff>
    </xdr:from>
    <xdr:to>
      <xdr:col>25</xdr:col>
      <xdr:colOff>426316</xdr:colOff>
      <xdr:row>16</xdr:row>
      <xdr:rowOff>232173</xdr:rowOff>
    </xdr:to>
    <xdr:grpSp>
      <xdr:nvGrpSpPr>
        <xdr:cNvPr id="3" name="Gruppieren 2">
          <a:extLst>
            <a:ext uri="{FF2B5EF4-FFF2-40B4-BE49-F238E27FC236}">
              <a16:creationId xmlns:a16="http://schemas.microsoft.com/office/drawing/2014/main" id="{00000000-0008-0000-0200-000003000000}"/>
            </a:ext>
          </a:extLst>
        </xdr:cNvPr>
        <xdr:cNvGrpSpPr/>
      </xdr:nvGrpSpPr>
      <xdr:grpSpPr>
        <a:xfrm>
          <a:off x="5635229" y="2089549"/>
          <a:ext cx="277487" cy="123824"/>
          <a:chOff x="6346963" y="1449871"/>
          <a:chExt cx="416615" cy="180975"/>
        </a:xfrm>
      </xdr:grpSpPr>
      <xdr:sp macro="" textlink="">
        <xdr:nvSpPr>
          <xdr:cNvPr id="1078" name="Line 54">
            <a:extLst>
              <a:ext uri="{FF2B5EF4-FFF2-40B4-BE49-F238E27FC236}">
                <a16:creationId xmlns:a16="http://schemas.microsoft.com/office/drawing/2014/main" id="{00000000-0008-0000-0200-000036040000}"/>
              </a:ext>
            </a:extLst>
          </xdr:cNvPr>
          <xdr:cNvSpPr>
            <a:spLocks noChangeShapeType="1"/>
          </xdr:cNvSpPr>
        </xdr:nvSpPr>
        <xdr:spPr bwMode="auto">
          <a:xfrm>
            <a:off x="6346963" y="1449871"/>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79" name="Line 55">
            <a:extLst>
              <a:ext uri="{FF2B5EF4-FFF2-40B4-BE49-F238E27FC236}">
                <a16:creationId xmlns:a16="http://schemas.microsoft.com/office/drawing/2014/main" id="{00000000-0008-0000-0200-000037040000}"/>
              </a:ext>
            </a:extLst>
          </xdr:cNvPr>
          <xdr:cNvSpPr>
            <a:spLocks noChangeShapeType="1"/>
          </xdr:cNvSpPr>
        </xdr:nvSpPr>
        <xdr:spPr bwMode="auto">
          <a:xfrm rot="16200000" flipH="1">
            <a:off x="6583845" y="1451114"/>
            <a:ext cx="180975" cy="1784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26</xdr:col>
      <xdr:colOff>136921</xdr:colOff>
      <xdr:row>16</xdr:row>
      <xdr:rowOff>112899</xdr:rowOff>
    </xdr:from>
    <xdr:to>
      <xdr:col>26</xdr:col>
      <xdr:colOff>469178</xdr:colOff>
      <xdr:row>16</xdr:row>
      <xdr:rowOff>285750</xdr:rowOff>
    </xdr:to>
    <xdr:grpSp>
      <xdr:nvGrpSpPr>
        <xdr:cNvPr id="4" name="Gruppieren 3">
          <a:extLst>
            <a:ext uri="{FF2B5EF4-FFF2-40B4-BE49-F238E27FC236}">
              <a16:creationId xmlns:a16="http://schemas.microsoft.com/office/drawing/2014/main" id="{00000000-0008-0000-0200-000004000000}"/>
            </a:ext>
          </a:extLst>
        </xdr:cNvPr>
        <xdr:cNvGrpSpPr/>
      </xdr:nvGrpSpPr>
      <xdr:grpSpPr>
        <a:xfrm>
          <a:off x="6169421" y="2094099"/>
          <a:ext cx="332257" cy="172851"/>
          <a:chOff x="6327913" y="1764610"/>
          <a:chExt cx="473765" cy="209550"/>
        </a:xfrm>
      </xdr:grpSpPr>
      <xdr:sp macro="" textlink="">
        <xdr:nvSpPr>
          <xdr:cNvPr id="1080" name="Line 56">
            <a:extLst>
              <a:ext uri="{FF2B5EF4-FFF2-40B4-BE49-F238E27FC236}">
                <a16:creationId xmlns:a16="http://schemas.microsoft.com/office/drawing/2014/main" id="{00000000-0008-0000-0200-000038040000}"/>
              </a:ext>
            </a:extLst>
          </xdr:cNvPr>
          <xdr:cNvSpPr>
            <a:spLocks noChangeShapeType="1"/>
          </xdr:cNvSpPr>
        </xdr:nvSpPr>
        <xdr:spPr bwMode="auto">
          <a:xfrm>
            <a:off x="6327913" y="176461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81" name="Line 57">
            <a:extLst>
              <a:ext uri="{FF2B5EF4-FFF2-40B4-BE49-F238E27FC236}">
                <a16:creationId xmlns:a16="http://schemas.microsoft.com/office/drawing/2014/main" id="{00000000-0008-0000-0200-000039040000}"/>
              </a:ext>
            </a:extLst>
          </xdr:cNvPr>
          <xdr:cNvSpPr>
            <a:spLocks noChangeShapeType="1"/>
          </xdr:cNvSpPr>
        </xdr:nvSpPr>
        <xdr:spPr bwMode="auto">
          <a:xfrm rot="5400000">
            <a:off x="6466025" y="1874148"/>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82" name="Line 58">
            <a:extLst>
              <a:ext uri="{FF2B5EF4-FFF2-40B4-BE49-F238E27FC236}">
                <a16:creationId xmlns:a16="http://schemas.microsoft.com/office/drawing/2014/main" id="{00000000-0008-0000-0200-00003A040000}"/>
              </a:ext>
            </a:extLst>
          </xdr:cNvPr>
          <xdr:cNvSpPr>
            <a:spLocks noChangeShapeType="1"/>
          </xdr:cNvSpPr>
        </xdr:nvSpPr>
        <xdr:spPr bwMode="auto">
          <a:xfrm>
            <a:off x="6566038" y="1764610"/>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grpSp>
    <xdr:clientData/>
  </xdr:twoCellAnchor>
  <xdr:twoCellAnchor>
    <xdr:from>
      <xdr:col>27</xdr:col>
      <xdr:colOff>130969</xdr:colOff>
      <xdr:row>16</xdr:row>
      <xdr:rowOff>117172</xdr:rowOff>
    </xdr:from>
    <xdr:to>
      <xdr:col>27</xdr:col>
      <xdr:colOff>465607</xdr:colOff>
      <xdr:row>16</xdr:row>
      <xdr:rowOff>285750</xdr:rowOff>
    </xdr:to>
    <xdr:grpSp>
      <xdr:nvGrpSpPr>
        <xdr:cNvPr id="5" name="Gruppieren 4">
          <a:extLst>
            <a:ext uri="{FF2B5EF4-FFF2-40B4-BE49-F238E27FC236}">
              <a16:creationId xmlns:a16="http://schemas.microsoft.com/office/drawing/2014/main" id="{00000000-0008-0000-0200-000005000000}"/>
            </a:ext>
          </a:extLst>
        </xdr:cNvPr>
        <xdr:cNvGrpSpPr/>
      </xdr:nvGrpSpPr>
      <xdr:grpSpPr>
        <a:xfrm>
          <a:off x="6734969" y="2098372"/>
          <a:ext cx="334638" cy="168578"/>
          <a:chOff x="6327913" y="2088874"/>
          <a:chExt cx="473765" cy="200025"/>
        </a:xfrm>
      </xdr:grpSpPr>
      <xdr:sp macro="" textlink="">
        <xdr:nvSpPr>
          <xdr:cNvPr id="1083" name="Line 59">
            <a:extLst>
              <a:ext uri="{FF2B5EF4-FFF2-40B4-BE49-F238E27FC236}">
                <a16:creationId xmlns:a16="http://schemas.microsoft.com/office/drawing/2014/main" id="{00000000-0008-0000-0200-00003B040000}"/>
              </a:ext>
            </a:extLst>
          </xdr:cNvPr>
          <xdr:cNvSpPr>
            <a:spLocks noChangeShapeType="1"/>
          </xdr:cNvSpPr>
        </xdr:nvSpPr>
        <xdr:spPr bwMode="auto">
          <a:xfrm>
            <a:off x="6327913" y="2088874"/>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84" name="Line 60">
            <a:extLst>
              <a:ext uri="{FF2B5EF4-FFF2-40B4-BE49-F238E27FC236}">
                <a16:creationId xmlns:a16="http://schemas.microsoft.com/office/drawing/2014/main" id="{00000000-0008-0000-0200-00003C040000}"/>
              </a:ext>
            </a:extLst>
          </xdr:cNvPr>
          <xdr:cNvSpPr>
            <a:spLocks noChangeShapeType="1"/>
          </xdr:cNvSpPr>
        </xdr:nvSpPr>
        <xdr:spPr bwMode="auto">
          <a:xfrm rot="5400000">
            <a:off x="6466025" y="2188887"/>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sp macro="" textlink="">
        <xdr:nvSpPr>
          <xdr:cNvPr id="1085" name="Line 61">
            <a:extLst>
              <a:ext uri="{FF2B5EF4-FFF2-40B4-BE49-F238E27FC236}">
                <a16:creationId xmlns:a16="http://schemas.microsoft.com/office/drawing/2014/main" id="{00000000-0008-0000-0200-00003D040000}"/>
              </a:ext>
            </a:extLst>
          </xdr:cNvPr>
          <xdr:cNvSpPr>
            <a:spLocks noChangeShapeType="1"/>
          </xdr:cNvSpPr>
        </xdr:nvSpPr>
        <xdr:spPr bwMode="auto">
          <a:xfrm>
            <a:off x="6566038" y="2088874"/>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28</xdr:col>
      <xdr:colOff>154781</xdr:colOff>
      <xdr:row>16</xdr:row>
      <xdr:rowOff>117873</xdr:rowOff>
    </xdr:from>
    <xdr:to>
      <xdr:col>28</xdr:col>
      <xdr:colOff>493550</xdr:colOff>
      <xdr:row>16</xdr:row>
      <xdr:rowOff>297656</xdr:rowOff>
    </xdr:to>
    <xdr:grpSp>
      <xdr:nvGrpSpPr>
        <xdr:cNvPr id="6" name="Gruppieren 5">
          <a:extLst>
            <a:ext uri="{FF2B5EF4-FFF2-40B4-BE49-F238E27FC236}">
              <a16:creationId xmlns:a16="http://schemas.microsoft.com/office/drawing/2014/main" id="{00000000-0008-0000-0200-000006000000}"/>
            </a:ext>
          </a:extLst>
        </xdr:cNvPr>
        <xdr:cNvGrpSpPr/>
      </xdr:nvGrpSpPr>
      <xdr:grpSpPr>
        <a:xfrm>
          <a:off x="7342981" y="2099073"/>
          <a:ext cx="338769" cy="179783"/>
          <a:chOff x="6327913" y="2403613"/>
          <a:chExt cx="473765" cy="180975"/>
        </a:xfrm>
      </xdr:grpSpPr>
      <xdr:sp macro="" textlink="">
        <xdr:nvSpPr>
          <xdr:cNvPr id="1086" name="Line 62">
            <a:extLst>
              <a:ext uri="{FF2B5EF4-FFF2-40B4-BE49-F238E27FC236}">
                <a16:creationId xmlns:a16="http://schemas.microsoft.com/office/drawing/2014/main" id="{00000000-0008-0000-0200-00003E040000}"/>
              </a:ext>
            </a:extLst>
          </xdr:cNvPr>
          <xdr:cNvSpPr>
            <a:spLocks noChangeShapeType="1"/>
          </xdr:cNvSpPr>
        </xdr:nvSpPr>
        <xdr:spPr bwMode="auto">
          <a:xfrm>
            <a:off x="6327913" y="2403613"/>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1087" name="Line 63">
            <a:extLst>
              <a:ext uri="{FF2B5EF4-FFF2-40B4-BE49-F238E27FC236}">
                <a16:creationId xmlns:a16="http://schemas.microsoft.com/office/drawing/2014/main" id="{00000000-0008-0000-0200-00003F040000}"/>
              </a:ext>
            </a:extLst>
          </xdr:cNvPr>
          <xdr:cNvSpPr>
            <a:spLocks noChangeShapeType="1"/>
          </xdr:cNvSpPr>
        </xdr:nvSpPr>
        <xdr:spPr bwMode="auto">
          <a:xfrm rot="5400000">
            <a:off x="6475550" y="2494101"/>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1088" name="Line 64">
            <a:extLst>
              <a:ext uri="{FF2B5EF4-FFF2-40B4-BE49-F238E27FC236}">
                <a16:creationId xmlns:a16="http://schemas.microsoft.com/office/drawing/2014/main" id="{00000000-0008-0000-0200-000040040000}"/>
              </a:ext>
            </a:extLst>
          </xdr:cNvPr>
          <xdr:cNvSpPr>
            <a:spLocks noChangeShapeType="1"/>
          </xdr:cNvSpPr>
        </xdr:nvSpPr>
        <xdr:spPr bwMode="auto">
          <a:xfrm>
            <a:off x="6566038" y="2403613"/>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29</xdr:col>
      <xdr:colOff>160734</xdr:colOff>
      <xdr:row>16</xdr:row>
      <xdr:rowOff>124806</xdr:rowOff>
    </xdr:from>
    <xdr:to>
      <xdr:col>29</xdr:col>
      <xdr:colOff>504686</xdr:colOff>
      <xdr:row>16</xdr:row>
      <xdr:rowOff>291704</xdr:rowOff>
    </xdr:to>
    <xdr:grpSp>
      <xdr:nvGrpSpPr>
        <xdr:cNvPr id="7" name="Gruppieren 6">
          <a:extLst>
            <a:ext uri="{FF2B5EF4-FFF2-40B4-BE49-F238E27FC236}">
              <a16:creationId xmlns:a16="http://schemas.microsoft.com/office/drawing/2014/main" id="{00000000-0008-0000-0200-000007000000}"/>
            </a:ext>
          </a:extLst>
        </xdr:cNvPr>
        <xdr:cNvGrpSpPr/>
      </xdr:nvGrpSpPr>
      <xdr:grpSpPr>
        <a:xfrm>
          <a:off x="7945834" y="2106006"/>
          <a:ext cx="343952" cy="166898"/>
          <a:chOff x="6308863" y="2708827"/>
          <a:chExt cx="473765" cy="219075"/>
        </a:xfrm>
      </xdr:grpSpPr>
      <xdr:sp macro="" textlink="">
        <xdr:nvSpPr>
          <xdr:cNvPr id="1089" name="Line 65">
            <a:extLst>
              <a:ext uri="{FF2B5EF4-FFF2-40B4-BE49-F238E27FC236}">
                <a16:creationId xmlns:a16="http://schemas.microsoft.com/office/drawing/2014/main" id="{00000000-0008-0000-0200-000041040000}"/>
              </a:ext>
            </a:extLst>
          </xdr:cNvPr>
          <xdr:cNvSpPr>
            <a:spLocks noChangeShapeType="1"/>
          </xdr:cNvSpPr>
        </xdr:nvSpPr>
        <xdr:spPr bwMode="auto">
          <a:xfrm>
            <a:off x="6308863" y="2708827"/>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90" name="Line 66">
            <a:extLst>
              <a:ext uri="{FF2B5EF4-FFF2-40B4-BE49-F238E27FC236}">
                <a16:creationId xmlns:a16="http://schemas.microsoft.com/office/drawing/2014/main" id="{00000000-0008-0000-0200-000042040000}"/>
              </a:ext>
            </a:extLst>
          </xdr:cNvPr>
          <xdr:cNvSpPr>
            <a:spLocks noChangeShapeType="1"/>
          </xdr:cNvSpPr>
        </xdr:nvSpPr>
        <xdr:spPr bwMode="auto">
          <a:xfrm rot="5400000">
            <a:off x="6437450" y="281836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91" name="Line 67">
            <a:extLst>
              <a:ext uri="{FF2B5EF4-FFF2-40B4-BE49-F238E27FC236}">
                <a16:creationId xmlns:a16="http://schemas.microsoft.com/office/drawing/2014/main" id="{00000000-0008-0000-0200-000043040000}"/>
              </a:ext>
            </a:extLst>
          </xdr:cNvPr>
          <xdr:cNvSpPr>
            <a:spLocks noChangeShapeType="1"/>
          </xdr:cNvSpPr>
        </xdr:nvSpPr>
        <xdr:spPr bwMode="auto">
          <a:xfrm>
            <a:off x="6546988" y="2708827"/>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clientData/>
  </xdr:twoCellAnchor>
  <xdr:twoCellAnchor>
    <xdr:from>
      <xdr:col>30</xdr:col>
      <xdr:colOff>160733</xdr:colOff>
      <xdr:row>16</xdr:row>
      <xdr:rowOff>77392</xdr:rowOff>
    </xdr:from>
    <xdr:to>
      <xdr:col>30</xdr:col>
      <xdr:colOff>422670</xdr:colOff>
      <xdr:row>16</xdr:row>
      <xdr:rowOff>208360</xdr:rowOff>
    </xdr:to>
    <xdr:grpSp>
      <xdr:nvGrpSpPr>
        <xdr:cNvPr id="8" name="Gruppieren 7">
          <a:extLst>
            <a:ext uri="{FF2B5EF4-FFF2-40B4-BE49-F238E27FC236}">
              <a16:creationId xmlns:a16="http://schemas.microsoft.com/office/drawing/2014/main" id="{00000000-0008-0000-0200-000008000000}"/>
            </a:ext>
          </a:extLst>
        </xdr:cNvPr>
        <xdr:cNvGrpSpPr/>
      </xdr:nvGrpSpPr>
      <xdr:grpSpPr>
        <a:xfrm>
          <a:off x="8580833" y="2058592"/>
          <a:ext cx="261937" cy="130968"/>
          <a:chOff x="6280288" y="3023566"/>
          <a:chExt cx="559490" cy="171450"/>
        </a:xfrm>
      </xdr:grpSpPr>
      <xdr:sp macro="" textlink="">
        <xdr:nvSpPr>
          <xdr:cNvPr id="1092" name="Line 68">
            <a:extLst>
              <a:ext uri="{FF2B5EF4-FFF2-40B4-BE49-F238E27FC236}">
                <a16:creationId xmlns:a16="http://schemas.microsoft.com/office/drawing/2014/main" id="{00000000-0008-0000-0200-000044040000}"/>
              </a:ext>
            </a:extLst>
          </xdr:cNvPr>
          <xdr:cNvSpPr>
            <a:spLocks noChangeShapeType="1"/>
          </xdr:cNvSpPr>
        </xdr:nvSpPr>
        <xdr:spPr bwMode="auto">
          <a:xfrm>
            <a:off x="6280288" y="3023566"/>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3" name="Line 69">
            <a:extLst>
              <a:ext uri="{FF2B5EF4-FFF2-40B4-BE49-F238E27FC236}">
                <a16:creationId xmlns:a16="http://schemas.microsoft.com/office/drawing/2014/main" id="{00000000-0008-0000-0200-000045040000}"/>
              </a:ext>
            </a:extLst>
          </xdr:cNvPr>
          <xdr:cNvSpPr>
            <a:spLocks noChangeShapeType="1"/>
          </xdr:cNvSpPr>
        </xdr:nvSpPr>
        <xdr:spPr bwMode="auto">
          <a:xfrm>
            <a:off x="6499363" y="3023566"/>
            <a:ext cx="104775"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4" name="Line 70">
            <a:extLst>
              <a:ext uri="{FF2B5EF4-FFF2-40B4-BE49-F238E27FC236}">
                <a16:creationId xmlns:a16="http://schemas.microsoft.com/office/drawing/2014/main" id="{00000000-0008-0000-0200-000046040000}"/>
              </a:ext>
            </a:extLst>
          </xdr:cNvPr>
          <xdr:cNvSpPr>
            <a:spLocks noChangeShapeType="1"/>
          </xdr:cNvSpPr>
        </xdr:nvSpPr>
        <xdr:spPr bwMode="auto">
          <a:xfrm>
            <a:off x="6594613" y="3080716"/>
            <a:ext cx="235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5" name="Line 71">
            <a:extLst>
              <a:ext uri="{FF2B5EF4-FFF2-40B4-BE49-F238E27FC236}">
                <a16:creationId xmlns:a16="http://schemas.microsoft.com/office/drawing/2014/main" id="{00000000-0008-0000-0200-000047040000}"/>
              </a:ext>
            </a:extLst>
          </xdr:cNvPr>
          <xdr:cNvSpPr>
            <a:spLocks noChangeShapeType="1"/>
          </xdr:cNvSpPr>
        </xdr:nvSpPr>
        <xdr:spPr bwMode="auto">
          <a:xfrm flipH="1">
            <a:off x="6594613" y="3128341"/>
            <a:ext cx="2451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6" name="Line 72">
            <a:extLst>
              <a:ext uri="{FF2B5EF4-FFF2-40B4-BE49-F238E27FC236}">
                <a16:creationId xmlns:a16="http://schemas.microsoft.com/office/drawing/2014/main" id="{00000000-0008-0000-0200-000048040000}"/>
              </a:ext>
            </a:extLst>
          </xdr:cNvPr>
          <xdr:cNvSpPr>
            <a:spLocks noChangeShapeType="1"/>
          </xdr:cNvSpPr>
        </xdr:nvSpPr>
        <xdr:spPr bwMode="auto">
          <a:xfrm flipH="1">
            <a:off x="6499363" y="3128341"/>
            <a:ext cx="952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7" name="Line 73">
            <a:extLst>
              <a:ext uri="{FF2B5EF4-FFF2-40B4-BE49-F238E27FC236}">
                <a16:creationId xmlns:a16="http://schemas.microsoft.com/office/drawing/2014/main" id="{00000000-0008-0000-0200-000049040000}"/>
              </a:ext>
            </a:extLst>
          </xdr:cNvPr>
          <xdr:cNvSpPr>
            <a:spLocks noChangeShapeType="1"/>
          </xdr:cNvSpPr>
        </xdr:nvSpPr>
        <xdr:spPr bwMode="auto">
          <a:xfrm>
            <a:off x="6280288" y="3195016"/>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178594</xdr:colOff>
      <xdr:row>16</xdr:row>
      <xdr:rowOff>89298</xdr:rowOff>
    </xdr:from>
    <xdr:to>
      <xdr:col>31</xdr:col>
      <xdr:colOff>416998</xdr:colOff>
      <xdr:row>16</xdr:row>
      <xdr:rowOff>238126</xdr:rowOff>
    </xdr:to>
    <xdr:grpSp>
      <xdr:nvGrpSpPr>
        <xdr:cNvPr id="9" name="Gruppieren 8">
          <a:extLst>
            <a:ext uri="{FF2B5EF4-FFF2-40B4-BE49-F238E27FC236}">
              <a16:creationId xmlns:a16="http://schemas.microsoft.com/office/drawing/2014/main" id="{00000000-0008-0000-0200-000009000000}"/>
            </a:ext>
          </a:extLst>
        </xdr:cNvPr>
        <xdr:cNvGrpSpPr/>
      </xdr:nvGrpSpPr>
      <xdr:grpSpPr>
        <a:xfrm>
          <a:off x="8915400" y="2070498"/>
          <a:ext cx="0" cy="148828"/>
          <a:chOff x="6299338" y="3338305"/>
          <a:chExt cx="540440" cy="171450"/>
        </a:xfrm>
      </xdr:grpSpPr>
      <xdr:sp macro="" textlink="">
        <xdr:nvSpPr>
          <xdr:cNvPr id="1098" name="Line 74">
            <a:extLst>
              <a:ext uri="{FF2B5EF4-FFF2-40B4-BE49-F238E27FC236}">
                <a16:creationId xmlns:a16="http://schemas.microsoft.com/office/drawing/2014/main" id="{00000000-0008-0000-0200-00004A040000}"/>
              </a:ext>
            </a:extLst>
          </xdr:cNvPr>
          <xdr:cNvSpPr>
            <a:spLocks noChangeShapeType="1"/>
          </xdr:cNvSpPr>
        </xdr:nvSpPr>
        <xdr:spPr bwMode="auto">
          <a:xfrm>
            <a:off x="6299338" y="33383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1" name="Line 77">
            <a:extLst>
              <a:ext uri="{FF2B5EF4-FFF2-40B4-BE49-F238E27FC236}">
                <a16:creationId xmlns:a16="http://schemas.microsoft.com/office/drawing/2014/main" id="{00000000-0008-0000-0200-00004D040000}"/>
              </a:ext>
            </a:extLst>
          </xdr:cNvPr>
          <xdr:cNvSpPr>
            <a:spLocks noChangeShapeType="1"/>
          </xdr:cNvSpPr>
        </xdr:nvSpPr>
        <xdr:spPr bwMode="auto">
          <a:xfrm>
            <a:off x="6839778" y="33383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2" name="Line 78">
            <a:extLst>
              <a:ext uri="{FF2B5EF4-FFF2-40B4-BE49-F238E27FC236}">
                <a16:creationId xmlns:a16="http://schemas.microsoft.com/office/drawing/2014/main" id="{00000000-0008-0000-0200-00004E040000}"/>
              </a:ext>
            </a:extLst>
          </xdr:cNvPr>
          <xdr:cNvSpPr>
            <a:spLocks noChangeShapeType="1"/>
          </xdr:cNvSpPr>
        </xdr:nvSpPr>
        <xdr:spPr bwMode="auto">
          <a:xfrm>
            <a:off x="6299338" y="3338305"/>
            <a:ext cx="54044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3" name="Line 79">
            <a:extLst>
              <a:ext uri="{FF2B5EF4-FFF2-40B4-BE49-F238E27FC236}">
                <a16:creationId xmlns:a16="http://schemas.microsoft.com/office/drawing/2014/main" id="{00000000-0008-0000-0200-00004F040000}"/>
              </a:ext>
            </a:extLst>
          </xdr:cNvPr>
          <xdr:cNvSpPr>
            <a:spLocks noChangeShapeType="1"/>
          </xdr:cNvSpPr>
        </xdr:nvSpPr>
        <xdr:spPr bwMode="auto">
          <a:xfrm flipV="1">
            <a:off x="6299338" y="3338305"/>
            <a:ext cx="54044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4" name="Line 80">
            <a:extLst>
              <a:ext uri="{FF2B5EF4-FFF2-40B4-BE49-F238E27FC236}">
                <a16:creationId xmlns:a16="http://schemas.microsoft.com/office/drawing/2014/main" id="{00000000-0008-0000-0200-000050040000}"/>
              </a:ext>
            </a:extLst>
          </xdr:cNvPr>
          <xdr:cNvSpPr>
            <a:spLocks noChangeShapeType="1"/>
          </xdr:cNvSpPr>
        </xdr:nvSpPr>
        <xdr:spPr bwMode="auto">
          <a:xfrm>
            <a:off x="6566038" y="3338305"/>
            <a:ext cx="0" cy="1714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178594</xdr:colOff>
      <xdr:row>16</xdr:row>
      <xdr:rowOff>107157</xdr:rowOff>
    </xdr:from>
    <xdr:to>
      <xdr:col>32</xdr:col>
      <xdr:colOff>410764</xdr:colOff>
      <xdr:row>16</xdr:row>
      <xdr:rowOff>226219</xdr:rowOff>
    </xdr:to>
    <xdr:grpSp>
      <xdr:nvGrpSpPr>
        <xdr:cNvPr id="11" name="Gruppieren 10">
          <a:extLst>
            <a:ext uri="{FF2B5EF4-FFF2-40B4-BE49-F238E27FC236}">
              <a16:creationId xmlns:a16="http://schemas.microsoft.com/office/drawing/2014/main" id="{00000000-0008-0000-0200-00000B000000}"/>
            </a:ext>
          </a:extLst>
        </xdr:cNvPr>
        <xdr:cNvGrpSpPr/>
      </xdr:nvGrpSpPr>
      <xdr:grpSpPr>
        <a:xfrm>
          <a:off x="8915400" y="2088357"/>
          <a:ext cx="0" cy="119062"/>
          <a:chOff x="6356709" y="3665105"/>
          <a:chExt cx="542461" cy="163945"/>
        </a:xfrm>
      </xdr:grpSpPr>
      <xdr:sp macro="" textlink="">
        <xdr:nvSpPr>
          <xdr:cNvPr id="1105" name="Line 81">
            <a:extLst>
              <a:ext uri="{FF2B5EF4-FFF2-40B4-BE49-F238E27FC236}">
                <a16:creationId xmlns:a16="http://schemas.microsoft.com/office/drawing/2014/main" id="{00000000-0008-0000-0200-000051040000}"/>
              </a:ext>
            </a:extLst>
          </xdr:cNvPr>
          <xdr:cNvSpPr>
            <a:spLocks noChangeShapeType="1"/>
          </xdr:cNvSpPr>
        </xdr:nvSpPr>
        <xdr:spPr bwMode="auto">
          <a:xfrm>
            <a:off x="6360144" y="366712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6" name="Line 82">
            <a:extLst>
              <a:ext uri="{FF2B5EF4-FFF2-40B4-BE49-F238E27FC236}">
                <a16:creationId xmlns:a16="http://schemas.microsoft.com/office/drawing/2014/main" id="{00000000-0008-0000-0200-000052040000}"/>
              </a:ext>
            </a:extLst>
          </xdr:cNvPr>
          <xdr:cNvSpPr>
            <a:spLocks noChangeShapeType="1"/>
          </xdr:cNvSpPr>
        </xdr:nvSpPr>
        <xdr:spPr bwMode="auto">
          <a:xfrm>
            <a:off x="6899170" y="366510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7" name="Line 83">
            <a:extLst>
              <a:ext uri="{FF2B5EF4-FFF2-40B4-BE49-F238E27FC236}">
                <a16:creationId xmlns:a16="http://schemas.microsoft.com/office/drawing/2014/main" id="{00000000-0008-0000-0200-000053040000}"/>
              </a:ext>
            </a:extLst>
          </xdr:cNvPr>
          <xdr:cNvSpPr>
            <a:spLocks noChangeShapeType="1"/>
          </xdr:cNvSpPr>
        </xdr:nvSpPr>
        <xdr:spPr bwMode="auto">
          <a:xfrm>
            <a:off x="6356709" y="3665105"/>
            <a:ext cx="542461"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8" name="Line 84">
            <a:extLst>
              <a:ext uri="{FF2B5EF4-FFF2-40B4-BE49-F238E27FC236}">
                <a16:creationId xmlns:a16="http://schemas.microsoft.com/office/drawing/2014/main" id="{00000000-0008-0000-0200-000054040000}"/>
              </a:ext>
            </a:extLst>
          </xdr:cNvPr>
          <xdr:cNvSpPr>
            <a:spLocks noChangeShapeType="1"/>
          </xdr:cNvSpPr>
        </xdr:nvSpPr>
        <xdr:spPr bwMode="auto">
          <a:xfrm flipV="1">
            <a:off x="6356709" y="3665105"/>
            <a:ext cx="542461"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09" name="Oval 85">
            <a:extLst>
              <a:ext uri="{FF2B5EF4-FFF2-40B4-BE49-F238E27FC236}">
                <a16:creationId xmlns:a16="http://schemas.microsoft.com/office/drawing/2014/main" id="{00000000-0008-0000-0200-000055040000}"/>
              </a:ext>
            </a:extLst>
          </xdr:cNvPr>
          <xdr:cNvSpPr>
            <a:spLocks noChangeArrowheads="1"/>
          </xdr:cNvSpPr>
        </xdr:nvSpPr>
        <xdr:spPr bwMode="auto">
          <a:xfrm>
            <a:off x="6549270" y="3684155"/>
            <a:ext cx="154049" cy="1428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41</xdr:col>
      <xdr:colOff>59377</xdr:colOff>
      <xdr:row>16</xdr:row>
      <xdr:rowOff>40822</xdr:rowOff>
    </xdr:from>
    <xdr:to>
      <xdr:col>44</xdr:col>
      <xdr:colOff>13607</xdr:colOff>
      <xdr:row>46</xdr:row>
      <xdr:rowOff>81643</xdr:rowOff>
    </xdr:to>
    <xdr:graphicFrame macro="">
      <xdr:nvGraphicFramePr>
        <xdr:cNvPr id="10" name="Diagramm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0</xdr:colOff>
      <xdr:row>4</xdr:row>
      <xdr:rowOff>12700</xdr:rowOff>
    </xdr:from>
    <xdr:to>
      <xdr:col>38</xdr:col>
      <xdr:colOff>622300</xdr:colOff>
      <xdr:row>8</xdr:row>
      <xdr:rowOff>165100</xdr:rowOff>
    </xdr:to>
    <xdr:sp macro="" textlink="">
      <xdr:nvSpPr>
        <xdr:cNvPr id="12" name="Rechteck 11">
          <a:hlinkClick xmlns:r="http://schemas.openxmlformats.org/officeDocument/2006/relationships" r:id="rId3"/>
          <a:extLst>
            <a:ext uri="{FF2B5EF4-FFF2-40B4-BE49-F238E27FC236}">
              <a16:creationId xmlns:a16="http://schemas.microsoft.com/office/drawing/2014/main" id="{796EFF0D-F2D8-43C2-9B1A-4C1A3F527441}"/>
            </a:ext>
          </a:extLst>
        </xdr:cNvPr>
        <xdr:cNvSpPr/>
      </xdr:nvSpPr>
      <xdr:spPr bwMode="auto">
        <a:xfrm>
          <a:off x="10045700" y="203200"/>
          <a:ext cx="2552700" cy="9144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7786657</xdr:colOff>
      <xdr:row>0</xdr:row>
      <xdr:rowOff>68035</xdr:rowOff>
    </xdr:from>
    <xdr:to>
      <xdr:col>4</xdr:col>
      <xdr:colOff>2070628</xdr:colOff>
      <xdr:row>4</xdr:row>
      <xdr:rowOff>30239</xdr:rowOff>
    </xdr:to>
    <xdr:pic>
      <xdr:nvPicPr>
        <xdr:cNvPr id="31" name="Grafik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a:stretch>
          <a:fillRect/>
        </a:stretch>
      </xdr:blipFill>
      <xdr:spPr>
        <a:xfrm>
          <a:off x="11297300" y="68035"/>
          <a:ext cx="2325792" cy="833061"/>
        </a:xfrm>
        <a:prstGeom prst="rect">
          <a:avLst/>
        </a:prstGeom>
      </xdr:spPr>
    </xdr:pic>
    <xdr:clientData/>
  </xdr:twoCellAnchor>
  <xdr:twoCellAnchor editAs="oneCell">
    <xdr:from>
      <xdr:col>3</xdr:col>
      <xdr:colOff>2127729</xdr:colOff>
      <xdr:row>8</xdr:row>
      <xdr:rowOff>938892</xdr:rowOff>
    </xdr:from>
    <xdr:to>
      <xdr:col>3</xdr:col>
      <xdr:colOff>4777251</xdr:colOff>
      <xdr:row>8</xdr:row>
      <xdr:rowOff>2343755</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638372" y="2639785"/>
          <a:ext cx="2649522" cy="14048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49</xdr:col>
      <xdr:colOff>149680</xdr:colOff>
      <xdr:row>0</xdr:row>
      <xdr:rowOff>122464</xdr:rowOff>
    </xdr:from>
    <xdr:to>
      <xdr:col>60</xdr:col>
      <xdr:colOff>82127</xdr:colOff>
      <xdr:row>4</xdr:row>
      <xdr:rowOff>16632</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0817680" y="122464"/>
          <a:ext cx="2327304" cy="81945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pageSetUpPr fitToPage="1"/>
  </sheetPr>
  <dimension ref="B1:BC44"/>
  <sheetViews>
    <sheetView showGridLines="0" showRowColHeaders="0" showRuler="0" zoomScale="75" zoomScaleNormal="75" zoomScalePageLayoutView="90" workbookViewId="0">
      <selection activeCell="B6" sqref="B6:I6"/>
    </sheetView>
  </sheetViews>
  <sheetFormatPr defaultColWidth="0.140625" defaultRowHeight="20.25" zeroHeight="1"/>
  <cols>
    <col min="1" max="1" width="4.140625" style="170" customWidth="1"/>
    <col min="2" max="11" width="11.42578125" style="170" customWidth="1"/>
    <col min="12" max="12" width="5.85546875" style="170" customWidth="1"/>
    <col min="13" max="13" width="9" style="170" customWidth="1"/>
    <col min="14" max="16" width="11.42578125" style="170" customWidth="1"/>
    <col min="17" max="17" width="18" style="170" bestFit="1" customWidth="1"/>
    <col min="18" max="19" width="20.7109375" style="170" customWidth="1"/>
    <col min="20" max="20" width="1.42578125" style="170" customWidth="1"/>
    <col min="21" max="21" width="1.28515625" style="170" hidden="1" customWidth="1"/>
    <col min="22" max="22" width="2.28515625" style="170" hidden="1" customWidth="1"/>
    <col min="23" max="47" width="0" style="170" hidden="1" customWidth="1"/>
    <col min="48" max="48" width="0.28515625" style="170" hidden="1" customWidth="1"/>
    <col min="49" max="54" width="0" style="170" hidden="1" customWidth="1"/>
    <col min="55" max="55" width="0.140625" style="170" hidden="1" customWidth="1"/>
    <col min="56" max="16383" width="0" style="170" hidden="1" customWidth="1"/>
    <col min="16384" max="16384" width="0.140625" style="170"/>
  </cols>
  <sheetData>
    <row r="1" spans="2:19"/>
    <row r="2" spans="2:19">
      <c r="B2" s="159" t="str">
        <f>HLOOKUP(S10,Sprachen!A1:T99,2,0)</f>
        <v>RAUPEX INDUSTRIEROHRSYSTEM - DRUCKVERLUSTBETRACHTUNG VORLAUF MEDIUM WASSER</v>
      </c>
      <c r="R2" s="252" t="s">
        <v>411</v>
      </c>
      <c r="S2" s="252"/>
    </row>
    <row r="3" spans="2:19">
      <c r="R3" s="252"/>
      <c r="S3" s="252"/>
    </row>
    <row r="4" spans="2:19"/>
    <row r="5" spans="2:19" ht="21" thickBot="1">
      <c r="S5" s="171"/>
    </row>
    <row r="6" spans="2:19" ht="20.25" customHeight="1" thickBot="1">
      <c r="B6" s="248" t="s">
        <v>435</v>
      </c>
      <c r="C6" s="248"/>
      <c r="D6" s="248"/>
      <c r="E6" s="248"/>
      <c r="F6" s="248"/>
      <c r="G6" s="248"/>
      <c r="H6" s="248"/>
      <c r="I6" s="248"/>
      <c r="K6" s="250" t="s">
        <v>433</v>
      </c>
      <c r="L6" s="250"/>
      <c r="M6" s="250"/>
      <c r="N6" s="250"/>
      <c r="O6" s="250"/>
      <c r="P6" s="250"/>
      <c r="R6" s="251" t="str">
        <f>HLOOKUP(S10,Sprachen!A1:T99,3,0)</f>
        <v>Bitte beachten Sie die
Hinweise in den
Nutzungsbedingungen</v>
      </c>
      <c r="S6" s="251"/>
    </row>
    <row r="7" spans="2:19" ht="21" thickBot="1">
      <c r="K7" s="250"/>
      <c r="L7" s="250"/>
      <c r="M7" s="250"/>
      <c r="N7" s="250"/>
      <c r="O7" s="250"/>
      <c r="P7" s="250"/>
      <c r="R7" s="251"/>
      <c r="S7" s="251"/>
    </row>
    <row r="8" spans="2:19" ht="20.25" customHeight="1" thickBot="1">
      <c r="B8" s="249" t="s">
        <v>433</v>
      </c>
      <c r="C8" s="249"/>
      <c r="D8" s="249"/>
      <c r="E8" s="249"/>
      <c r="F8" s="249"/>
      <c r="G8" s="249"/>
      <c r="H8" s="249"/>
      <c r="I8" s="249"/>
      <c r="K8" s="250"/>
      <c r="L8" s="250"/>
      <c r="M8" s="250"/>
      <c r="N8" s="250"/>
      <c r="O8" s="250"/>
      <c r="P8" s="250"/>
      <c r="R8" s="251"/>
      <c r="S8" s="251"/>
    </row>
    <row r="9" spans="2:19" ht="20.25" customHeight="1" thickBot="1">
      <c r="B9" s="249"/>
      <c r="C9" s="249"/>
      <c r="D9" s="249"/>
      <c r="E9" s="249"/>
      <c r="F9" s="249"/>
      <c r="G9" s="249"/>
      <c r="H9" s="249"/>
      <c r="I9" s="249"/>
      <c r="K9" s="250"/>
      <c r="L9" s="250"/>
      <c r="M9" s="250"/>
      <c r="N9" s="250"/>
      <c r="O9" s="250"/>
      <c r="P9" s="250"/>
      <c r="R9" s="251"/>
      <c r="S9" s="251"/>
    </row>
    <row r="10" spans="2:19" ht="21" thickBot="1">
      <c r="B10" s="249"/>
      <c r="C10" s="249"/>
      <c r="D10" s="249"/>
      <c r="E10" s="249"/>
      <c r="F10" s="249"/>
      <c r="G10" s="249"/>
      <c r="H10" s="249"/>
      <c r="I10" s="249"/>
      <c r="K10" s="250"/>
      <c r="L10" s="250"/>
      <c r="M10" s="250"/>
      <c r="N10" s="250"/>
      <c r="O10" s="250"/>
      <c r="P10" s="250"/>
      <c r="R10" s="214" t="str">
        <f>HLOOKUP(S10,Sprachen!A1:T99,76,0)</f>
        <v>Sprache wählen</v>
      </c>
      <c r="S10" s="233" t="s">
        <v>272</v>
      </c>
    </row>
    <row r="11" spans="2:19">
      <c r="F11" s="198"/>
      <c r="G11" s="199"/>
    </row>
    <row r="12" spans="2:19">
      <c r="B12" s="200"/>
      <c r="F12" s="201"/>
      <c r="G12" s="201"/>
    </row>
    <row r="13" spans="2:19">
      <c r="F13" s="198"/>
      <c r="G13" s="199"/>
    </row>
    <row r="14" spans="2:19">
      <c r="E14" s="202"/>
      <c r="F14" s="201"/>
      <c r="G14" s="201"/>
    </row>
    <row r="15" spans="2:19">
      <c r="O15" s="215"/>
    </row>
    <row r="16" spans="2:19">
      <c r="E16" s="202"/>
      <c r="F16" s="198"/>
      <c r="G16" s="199"/>
      <c r="O16" s="215"/>
    </row>
    <row r="17" spans="2:9"/>
    <row r="18" spans="2:9"/>
    <row r="19" spans="2:9"/>
    <row r="20" spans="2:9"/>
    <row r="21" spans="2:9"/>
    <row r="22" spans="2:9"/>
    <row r="23" spans="2:9"/>
    <row r="24" spans="2:9"/>
    <row r="25" spans="2:9"/>
    <row r="26" spans="2:9"/>
    <row r="27" spans="2:9"/>
    <row r="28" spans="2:9"/>
    <row r="29" spans="2:9">
      <c r="B29" s="172"/>
      <c r="G29" s="172"/>
      <c r="I29" s="173"/>
    </row>
    <row r="30" spans="2:9">
      <c r="B30" s="174"/>
      <c r="G30" s="174"/>
      <c r="I30" s="173"/>
    </row>
    <row r="31" spans="2:9">
      <c r="B31" s="175"/>
      <c r="G31" s="175"/>
      <c r="I31" s="173"/>
    </row>
    <row r="32" spans="2:9">
      <c r="B32" s="176"/>
      <c r="G32" s="176"/>
    </row>
    <row r="33" spans="2:30">
      <c r="B33" s="176"/>
    </row>
    <row r="34" spans="2:30"/>
    <row r="35" spans="2:30">
      <c r="B35" s="238" t="str">
        <f>HLOOKUP(S10,Sprachen!A1:T99,7,0)</f>
        <v>Hinweis: Die Rohrnetzskizze kann aus aus jeder anderen Anwendung heraus kopiert und auf dieser Seite eingefügt werden.</v>
      </c>
    </row>
    <row r="36" spans="2:30">
      <c r="B36" s="172"/>
      <c r="G36" s="172"/>
    </row>
    <row r="37" spans="2:30" hidden="1">
      <c r="B37" s="174"/>
      <c r="G37" s="174"/>
    </row>
    <row r="38" spans="2:30" hidden="1">
      <c r="B38" s="175"/>
      <c r="G38" s="175"/>
    </row>
    <row r="39" spans="2:30" hidden="1">
      <c r="B39" s="176"/>
      <c r="G39" s="176"/>
    </row>
    <row r="42" spans="2:30" s="178" customFormat="1" hidden="1">
      <c r="B42" s="177"/>
      <c r="G42" s="177"/>
    </row>
    <row r="44" spans="2:30" hidden="1">
      <c r="AB44" s="179"/>
      <c r="AC44" s="179"/>
      <c r="AD44" s="179"/>
    </row>
  </sheetData>
  <sheetProtection algorithmName="SHA-512" hashValue="7Zk8goM+x+Aw9y0mfzkaIBNeb4x/+3Nw+qT6mWj+9MFKZjjMlt8plAo2K6l7KxM3paK5hWBngF732VPzLd3Xng==" saltValue="2dIOfguIZ7h1sEU1T9KV/w==" spinCount="100000" sheet="1" scenarios="1" selectLockedCells="1"/>
  <mergeCells count="5">
    <mergeCell ref="B6:I6"/>
    <mergeCell ref="B8:I10"/>
    <mergeCell ref="K6:P10"/>
    <mergeCell ref="R6:S9"/>
    <mergeCell ref="R2:S3"/>
  </mergeCells>
  <conditionalFormatting sqref="G11">
    <cfRule type="cellIs" dxfId="12" priority="1" operator="greaterThan">
      <formula>0.2</formula>
    </cfRule>
  </conditionalFormatting>
  <conditionalFormatting sqref="G13">
    <cfRule type="cellIs" dxfId="11" priority="2" operator="greaterThan">
      <formula>0.2</formula>
    </cfRule>
  </conditionalFormatting>
  <conditionalFormatting sqref="G16">
    <cfRule type="cellIs" dxfId="10" priority="3" operator="greaterThan">
      <formula>0.2</formula>
    </cfRule>
  </conditionalFormatting>
  <pageMargins left="0.23622047244094491" right="0.23622047244094491" top="0.74803149606299213" bottom="0.74803149606299213" header="0.31496062992125984" footer="0.31496062992125984"/>
  <pageSetup paperSize="9" scale="63" orientation="landscape" verticalDpi="90" r:id="rId1"/>
  <headerFooter>
    <oddFooter>&amp;LRAUPEX_automotive_cooling_below_200_mbar_Vers_01.2021&amp;CSeite 1/5&amp;RDruckdatum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Sprachen!$A$1:$E$1</xm:f>
          </x14:formula1>
          <xm:sqref>S10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BS64"/>
  <sheetViews>
    <sheetView showGridLines="0" showRowColHeaders="0" showZeros="0" tabSelected="1" showOutlineSymbols="0" topLeftCell="Q4" zoomScale="75" zoomScaleNormal="75" zoomScaleSheetLayoutView="85" zoomScalePageLayoutView="55" workbookViewId="0">
      <selection activeCell="R20" sqref="R20"/>
    </sheetView>
  </sheetViews>
  <sheetFormatPr defaultColWidth="0" defaultRowHeight="15" customHeight="1" zeroHeight="1"/>
  <cols>
    <col min="1" max="2" width="3.28515625" style="90" hidden="1" customWidth="1"/>
    <col min="3" max="3" width="10.28515625" style="90" hidden="1" customWidth="1"/>
    <col min="4" max="4" width="11.85546875" style="90" hidden="1" customWidth="1"/>
    <col min="5" max="11" width="3.28515625" style="90" hidden="1" customWidth="1"/>
    <col min="12" max="12" width="4" style="90" hidden="1" customWidth="1"/>
    <col min="13" max="16" width="3.28515625" style="90" hidden="1" customWidth="1"/>
    <col min="17" max="17" width="4" style="90" customWidth="1"/>
    <col min="18" max="18" width="26.7109375" style="90" customWidth="1"/>
    <col min="19" max="19" width="4.28515625" style="90" customWidth="1"/>
    <col min="20" max="20" width="9" style="90" customWidth="1"/>
    <col min="21" max="21" width="4.42578125" style="90" customWidth="1"/>
    <col min="22" max="22" width="9.85546875" style="90" customWidth="1"/>
    <col min="23" max="23" width="9" style="90" customWidth="1"/>
    <col min="24" max="24" width="6.85546875" style="90" customWidth="1"/>
    <col min="25" max="26" width="8.140625" style="90" bestFit="1" customWidth="1"/>
    <col min="27" max="27" width="8.5703125" style="90" customWidth="1"/>
    <col min="28" max="28" width="8.7109375" style="90" bestFit="1" customWidth="1"/>
    <col min="29" max="29" width="8.85546875" style="90" customWidth="1"/>
    <col min="30" max="30" width="9.5703125" style="90" customWidth="1"/>
    <col min="31" max="31" width="7.42578125" style="90" customWidth="1"/>
    <col min="32" max="33" width="8" style="90" hidden="1" customWidth="1"/>
    <col min="34" max="34" width="8.5703125" style="90" customWidth="1"/>
    <col min="35" max="35" width="8.42578125" style="90" customWidth="1"/>
    <col min="36" max="36" width="8.7109375" style="90" customWidth="1"/>
    <col min="37" max="38" width="10" style="90" bestFit="1" customWidth="1"/>
    <col min="39" max="40" width="9.7109375" style="90" customWidth="1"/>
    <col min="41" max="41" width="11" style="91" customWidth="1"/>
    <col min="42" max="42" width="2.85546875" style="90" customWidth="1"/>
    <col min="43" max="43" width="11.42578125" style="90" customWidth="1"/>
    <col min="44" max="44" width="12.28515625" style="90" customWidth="1"/>
    <col min="45" max="52" width="11.42578125" style="90" hidden="1" customWidth="1"/>
    <col min="53" max="53" width="6.28515625" style="90" hidden="1" customWidth="1"/>
    <col min="54" max="68" width="15.7109375" style="90" hidden="1" customWidth="1"/>
    <col min="69" max="16384" width="11.42578125" style="90" hidden="1"/>
  </cols>
  <sheetData>
    <row r="1" spans="1:71" ht="15" hidden="1" customHeight="1">
      <c r="A1" s="162"/>
    </row>
    <row r="3" spans="1:71" ht="15" hidden="1" customHeight="1">
      <c r="A3" s="161"/>
      <c r="B3" s="148"/>
      <c r="C3" s="148"/>
      <c r="D3" s="160"/>
      <c r="F3" s="148"/>
      <c r="K3" s="254"/>
      <c r="L3" s="254"/>
      <c r="M3" s="254"/>
      <c r="N3" s="254"/>
      <c r="AO3" s="90"/>
    </row>
    <row r="4" spans="1:71" ht="15" customHeight="1" thickBot="1">
      <c r="F4" s="148"/>
      <c r="L4" s="156"/>
      <c r="M4" s="156"/>
      <c r="AO4" s="90"/>
    </row>
    <row r="5" spans="1:71" ht="15" customHeight="1">
      <c r="F5" s="148"/>
      <c r="M5" s="118"/>
      <c r="R5" s="159" t="str">
        <f>HLOOKUP('REHAU RAUPEX'!S10,Sprachen!A1:T99,8,0)</f>
        <v>RAUPEX INDUSTRIEROHRSYSTEM - RINGLEITUNG VORLAUF MEDIUM WASSER</v>
      </c>
      <c r="AJ5" s="262" t="str">
        <f>HLOOKUP('REHAU RAUPEX'!S10,Sprachen!A1:T99,3,0)</f>
        <v>Bitte beachten Sie die
Hinweise in den
Nutzungsbedingungen</v>
      </c>
      <c r="AK5" s="263"/>
      <c r="AL5" s="263"/>
      <c r="AM5" s="264"/>
    </row>
    <row r="6" spans="1:71" ht="15" customHeight="1">
      <c r="F6" s="148"/>
      <c r="L6" s="134"/>
      <c r="M6" s="134"/>
      <c r="N6" s="134"/>
      <c r="O6" s="134"/>
      <c r="W6" s="158"/>
      <c r="AJ6" s="265"/>
      <c r="AK6" s="266"/>
      <c r="AL6" s="266"/>
      <c r="AM6" s="267"/>
    </row>
    <row r="7" spans="1:71" ht="15" customHeight="1">
      <c r="F7" s="148"/>
      <c r="L7" s="147"/>
      <c r="M7" s="147"/>
      <c r="N7" s="134"/>
      <c r="O7" s="134"/>
      <c r="R7" s="114" t="str">
        <f>HLOOKUP('REHAU RAUPEX'!S10,Sprachen!A1:T99,9,0)</f>
        <v>Betrachtung Vorlauf</v>
      </c>
      <c r="W7" s="261" t="str">
        <f>'REHAU RAUPEX'!B6</f>
        <v>Project description</v>
      </c>
      <c r="X7" s="261"/>
      <c r="Y7" s="261"/>
      <c r="Z7" s="261"/>
      <c r="AA7" s="261"/>
      <c r="AB7" s="261"/>
      <c r="AC7" s="261"/>
      <c r="AD7" s="180"/>
      <c r="AE7" s="180"/>
      <c r="AF7" s="180"/>
      <c r="AG7" s="180"/>
      <c r="AJ7" s="265"/>
      <c r="AK7" s="266"/>
      <c r="AL7" s="266"/>
      <c r="AM7" s="267"/>
      <c r="AN7" s="114"/>
    </row>
    <row r="8" spans="1:71" ht="15" customHeight="1">
      <c r="F8" s="148"/>
      <c r="L8" s="134"/>
      <c r="M8" s="134"/>
      <c r="N8" s="134"/>
      <c r="O8" s="134"/>
      <c r="R8" s="114" t="str">
        <f>HLOOKUP('REHAU RAUPEX'!S10,Sprachen!A1:T99,10,0)</f>
        <v>Gesamtdruckverlust im Vorlauf &lt;</v>
      </c>
      <c r="T8" s="271">
        <f>Strangleitung!T8</f>
        <v>0.2</v>
      </c>
      <c r="U8" s="271"/>
      <c r="AJ8" s="265"/>
      <c r="AK8" s="266"/>
      <c r="AL8" s="266"/>
      <c r="AM8" s="267"/>
    </row>
    <row r="9" spans="1:71" ht="15" customHeight="1" thickBot="1">
      <c r="F9" s="148"/>
      <c r="L9" s="134"/>
      <c r="M9" s="134"/>
      <c r="N9" s="134"/>
      <c r="O9" s="134"/>
      <c r="R9" s="114"/>
      <c r="W9" s="157" t="str">
        <f>HLOOKUP('REHAU RAUPEX'!S10,Sprachen!A1:T99,11,0)</f>
        <v>Wassertemperatur:</v>
      </c>
      <c r="X9" s="154"/>
      <c r="Y9" s="154"/>
      <c r="Z9" s="244">
        <f>Strangleitung!Z9</f>
        <v>20</v>
      </c>
      <c r="AA9" s="154" t="s">
        <v>10</v>
      </c>
      <c r="AJ9" s="268"/>
      <c r="AK9" s="269"/>
      <c r="AL9" s="269"/>
      <c r="AM9" s="270"/>
    </row>
    <row r="10" spans="1:71" ht="15" customHeight="1">
      <c r="F10" s="148"/>
      <c r="L10" s="134"/>
      <c r="M10" s="134"/>
      <c r="N10" s="134"/>
      <c r="R10" s="114"/>
      <c r="AO10" s="90"/>
    </row>
    <row r="11" spans="1:71" ht="15" customHeight="1">
      <c r="B11" s="156"/>
      <c r="F11" s="148"/>
      <c r="G11" s="151"/>
      <c r="L11" s="134"/>
      <c r="M11" s="134"/>
      <c r="N11" s="134"/>
      <c r="AO11" s="90"/>
    </row>
    <row r="12" spans="1:71" ht="15" hidden="1" customHeight="1">
      <c r="B12" s="156"/>
      <c r="D12" s="118"/>
      <c r="H12" s="254"/>
      <c r="I12" s="254"/>
      <c r="J12" s="254"/>
      <c r="L12" s="134"/>
      <c r="M12" s="147"/>
      <c r="N12" s="134"/>
      <c r="O12" s="155"/>
      <c r="P12" s="154"/>
      <c r="S12" s="153"/>
      <c r="Y12" s="152"/>
      <c r="AO12" s="90"/>
    </row>
    <row r="13" spans="1:71" ht="14.25" hidden="1" customHeight="1">
      <c r="B13" s="149"/>
      <c r="C13" s="148"/>
      <c r="D13" s="151"/>
      <c r="E13" s="148"/>
      <c r="H13" s="254"/>
      <c r="I13" s="254"/>
      <c r="J13" s="254"/>
      <c r="L13" s="134"/>
      <c r="M13" s="147"/>
      <c r="N13" s="134"/>
      <c r="O13" s="114"/>
      <c r="AO13" s="90"/>
      <c r="BB13" s="146"/>
      <c r="BC13" s="146"/>
      <c r="BD13" s="146"/>
      <c r="BE13" s="150" t="s">
        <v>17</v>
      </c>
      <c r="BF13" s="150" t="s">
        <v>18</v>
      </c>
      <c r="BG13" s="150" t="s">
        <v>19</v>
      </c>
      <c r="BH13" s="150" t="s">
        <v>20</v>
      </c>
      <c r="BI13" s="150" t="s">
        <v>21</v>
      </c>
      <c r="BJ13" s="150" t="s">
        <v>22</v>
      </c>
      <c r="BK13" s="150" t="s">
        <v>23</v>
      </c>
      <c r="BL13" s="150" t="s">
        <v>24</v>
      </c>
      <c r="BM13" s="150" t="s">
        <v>25</v>
      </c>
      <c r="BN13" s="150" t="s">
        <v>26</v>
      </c>
      <c r="BO13" s="150" t="s">
        <v>27</v>
      </c>
      <c r="BP13" s="150" t="s">
        <v>28</v>
      </c>
    </row>
    <row r="14" spans="1:71" ht="14.25" hidden="1" customHeight="1">
      <c r="B14" s="149"/>
      <c r="D14" s="121"/>
      <c r="E14" s="148"/>
      <c r="L14" s="134"/>
      <c r="M14" s="147"/>
      <c r="N14" s="134"/>
      <c r="R14" s="114"/>
      <c r="AO14" s="90"/>
      <c r="BB14" s="146"/>
      <c r="BC14" s="146"/>
      <c r="BD14" s="146"/>
      <c r="BE14" s="146"/>
      <c r="BF14" s="146"/>
      <c r="BG14" s="146"/>
      <c r="BH14" s="146"/>
      <c r="BI14" s="146"/>
      <c r="BJ14" s="146"/>
      <c r="BK14" s="146"/>
      <c r="BL14" s="146"/>
      <c r="BM14" s="146"/>
      <c r="BN14" s="146"/>
      <c r="BO14" s="146"/>
      <c r="BP14" s="146"/>
    </row>
    <row r="15" spans="1:71" ht="15" hidden="1" customHeight="1">
      <c r="M15" s="118"/>
      <c r="AO15" s="90"/>
      <c r="BB15" s="39"/>
      <c r="BC15" s="40"/>
      <c r="BD15" s="40"/>
      <c r="BE15" s="41"/>
      <c r="BF15" s="42"/>
      <c r="BG15" s="42"/>
      <c r="BH15" s="42"/>
      <c r="BI15" s="42"/>
      <c r="BJ15" s="42"/>
      <c r="BK15" s="42"/>
      <c r="BL15" s="42"/>
      <c r="BM15" s="42"/>
      <c r="BN15" s="42"/>
      <c r="BO15" s="42"/>
      <c r="BP15" s="43"/>
    </row>
    <row r="16" spans="1:71" ht="36" customHeight="1">
      <c r="D16" s="118"/>
      <c r="F16" s="136"/>
      <c r="G16" s="136"/>
      <c r="J16" s="136"/>
      <c r="M16" s="136"/>
      <c r="N16" s="136"/>
      <c r="R16" s="257" t="str">
        <f>HLOOKUP('REHAU RAUPEX'!S10,Sprachen!A1:T99,15,0)</f>
        <v>RINGLEITUNG in beiden Fließrichtungen erfassen bis der theoretische hydraulische Nullpunkt definiert ist.</v>
      </c>
      <c r="S16" s="255" t="str">
        <f>HLOOKUP('REHAU RAUPEX'!S10,Sprachen!A1:T99,16,0)</f>
        <v>Teilstrecke</v>
      </c>
      <c r="T16" s="145" t="str">
        <f>HLOOKUP('REHAU RAUPEX'!S10,Sprachen!A1:T99,17,0)</f>
        <v>RAUPEX Rohr</v>
      </c>
      <c r="U16" s="259" t="str">
        <f>HLOOKUP('REHAU RAUPEX'!S10,Sprachen!A1:T99,18,0)</f>
        <v>Verbraucher</v>
      </c>
      <c r="V16" s="145" t="str">
        <f>HLOOKUP('REHAU RAUPEX'!S10,Sprachen!A1:T99,19,0)</f>
        <v>Volumen-
strom
abgehend</v>
      </c>
      <c r="W16" s="145" t="str">
        <f>HLOOKUP('REHAU RAUPEX'!S10,Sprachen!A1:T99,20,0)</f>
        <v>Volumen-
strom
gesamt</v>
      </c>
      <c r="X16" s="145" t="str">
        <f>HLOOKUP('REHAU RAUPEX'!S10,Sprachen!A1:T99,21,0)</f>
        <v>Rohr-
länge</v>
      </c>
      <c r="Y16" s="145" t="str">
        <f>HLOOKUP('REHAU RAUPEX'!S10,Sprachen!A1:T99,22,0)</f>
        <v>Winkel 90°</v>
      </c>
      <c r="Z16" s="145" t="str">
        <f>HLOOKUP('REHAU RAUPEX'!S10,Sprachen!A1:T99,23,0)</f>
        <v>Winkel 45°</v>
      </c>
      <c r="AA16" s="145" t="str">
        <f>HLOOKUP('REHAU RAUPEX'!S10,Sprachen!A1:T99,24,0)</f>
        <v>T-Stück Abzweig</v>
      </c>
      <c r="AB16" s="145" t="str">
        <f>HLOOKUP('REHAU RAUPEX'!S10,Sprachen!A1:T99,25,0)</f>
        <v>T-Stück Durchgang</v>
      </c>
      <c r="AC16" s="145" t="str">
        <f>HLOOKUP('REHAU RAUPEX'!S10,Sprachen!A1:T99,26,0)</f>
        <v>T-Stück Verteilung</v>
      </c>
      <c r="AD16" s="145" t="str">
        <f>HLOOKUP('REHAU RAUPEX'!S10,Sprachen!A1:T99,27,0)</f>
        <v>T-Stück Vereinigung</v>
      </c>
      <c r="AE16" s="145" t="str">
        <f>HLOOKUP('REHAU RAUPEX'!S10,Sprachen!A1:T99,28,0)</f>
        <v>Redu-
zierung</v>
      </c>
      <c r="AF16" s="145" t="s">
        <v>48</v>
      </c>
      <c r="AG16" s="145" t="s">
        <v>38</v>
      </c>
      <c r="AH16" s="145" t="str">
        <f>HLOOKUP('REHAU RAUPEX'!S10,Sprachen!A1:T99,29,0)</f>
        <v>Rohr-
reibung</v>
      </c>
      <c r="AI16" s="145" t="str">
        <f>HLOOKUP('REHAU RAUPEX'!S10,Sprachen!A1:T99,30,0)</f>
        <v>Reynolds-
zahl</v>
      </c>
      <c r="AJ16" s="145" t="str">
        <f>HLOOKUP('REHAU RAUPEX'!S10,Sprachen!A1:T99,31,0)</f>
        <v>Geschwin-
digkeit</v>
      </c>
      <c r="AK16" s="145" t="str">
        <f>HLOOKUP('REHAU RAUPEX'!S10,Sprachen!A1:T99,32,0)</f>
        <v>Druckverlust Formteile</v>
      </c>
      <c r="AL16" s="145" t="str">
        <f>HLOOKUP('REHAU RAUPEX'!S10,Sprachen!A1:T99,33,0)</f>
        <v>Druckverlust Rohr</v>
      </c>
      <c r="AM16" s="145" t="str">
        <f>HLOOKUP('REHAU RAUPEX'!S10,Sprachen!A1:T99,34,0)</f>
        <v>Druckverlust Formteil + Rohr</v>
      </c>
      <c r="AN16" s="145" t="str">
        <f>HLOOKUP('REHAU RAUPEX'!S10,Sprachen!A1:T99,34,0)</f>
        <v>Druckverlust Formteil + Rohr</v>
      </c>
      <c r="AO16" s="145" t="str">
        <f>HLOOKUP('REHAU RAUPEX'!S10,Sprachen!A1:T99,35,0)</f>
        <v>Druckverlust Gruppierung kommuliert</v>
      </c>
      <c r="AP16" s="143"/>
      <c r="BB16" s="91"/>
      <c r="BC16" s="144"/>
      <c r="BD16" s="144"/>
      <c r="BE16" s="41"/>
      <c r="BF16" s="42"/>
      <c r="BG16" s="42"/>
      <c r="BH16" s="42"/>
      <c r="BI16" s="42"/>
      <c r="BJ16" s="42"/>
      <c r="BK16" s="42"/>
      <c r="BL16" s="42"/>
      <c r="BM16" s="42"/>
      <c r="BN16" s="42"/>
      <c r="BO16" s="42"/>
      <c r="BP16" s="42"/>
      <c r="BS16" s="143"/>
    </row>
    <row r="17" spans="6:68" ht="28.5" customHeight="1">
      <c r="F17" s="136"/>
      <c r="G17" s="136"/>
      <c r="J17" s="136"/>
      <c r="M17" s="136"/>
      <c r="N17" s="136"/>
      <c r="R17" s="258"/>
      <c r="S17" s="255"/>
      <c r="T17" s="139" t="s">
        <v>52</v>
      </c>
      <c r="U17" s="260"/>
      <c r="V17" s="142" t="s">
        <v>44</v>
      </c>
      <c r="W17" s="139" t="s">
        <v>44</v>
      </c>
      <c r="X17" s="139" t="s">
        <v>12</v>
      </c>
      <c r="Y17" s="141">
        <v>1.3</v>
      </c>
      <c r="Z17" s="141">
        <v>0.5</v>
      </c>
      <c r="AA17" s="141">
        <v>1.3</v>
      </c>
      <c r="AB17" s="141">
        <v>0.3</v>
      </c>
      <c r="AC17" s="141">
        <v>1.5</v>
      </c>
      <c r="AD17" s="141">
        <v>1.3</v>
      </c>
      <c r="AE17" s="141">
        <v>0.4</v>
      </c>
      <c r="AF17" s="140">
        <v>0.5</v>
      </c>
      <c r="AG17" s="140">
        <v>0.1</v>
      </c>
      <c r="AH17" s="139" t="s">
        <v>14</v>
      </c>
      <c r="AI17" s="139" t="s">
        <v>13</v>
      </c>
      <c r="AJ17" s="139" t="s">
        <v>16</v>
      </c>
      <c r="AK17" s="139" t="s">
        <v>15</v>
      </c>
      <c r="AL17" s="139" t="s">
        <v>15</v>
      </c>
      <c r="AM17" s="139" t="s">
        <v>15</v>
      </c>
      <c r="AN17" s="139" t="s">
        <v>11</v>
      </c>
      <c r="AO17" s="139" t="s">
        <v>11</v>
      </c>
      <c r="BB17" s="91"/>
      <c r="BC17" s="138"/>
      <c r="BD17" s="138"/>
      <c r="BE17" s="47"/>
      <c r="BF17" s="48"/>
      <c r="BG17" s="42"/>
      <c r="BH17" s="42"/>
      <c r="BI17" s="42"/>
      <c r="BJ17" s="42"/>
      <c r="BK17" s="42"/>
      <c r="BL17" s="42"/>
      <c r="BM17" s="42"/>
      <c r="BN17" s="42"/>
      <c r="BO17" s="42"/>
      <c r="BP17" s="42"/>
    </row>
    <row r="18" spans="6:68" ht="15" customHeight="1">
      <c r="F18" s="136"/>
      <c r="G18" s="136"/>
      <c r="J18" s="136"/>
      <c r="M18" s="136"/>
      <c r="N18" s="136"/>
      <c r="T18" s="90" t="s">
        <v>434</v>
      </c>
      <c r="V18" s="90" t="s">
        <v>434</v>
      </c>
      <c r="X18" s="90" t="s">
        <v>434</v>
      </c>
      <c r="Y18" s="90" t="s">
        <v>434</v>
      </c>
      <c r="Z18" s="90" t="s">
        <v>434</v>
      </c>
      <c r="AA18" s="90" t="s">
        <v>434</v>
      </c>
      <c r="AB18" s="90" t="s">
        <v>434</v>
      </c>
      <c r="AC18" s="90" t="s">
        <v>434</v>
      </c>
      <c r="AD18" s="90" t="s">
        <v>434</v>
      </c>
      <c r="AE18" s="90" t="s">
        <v>434</v>
      </c>
      <c r="AJ18" s="137"/>
      <c r="AK18" s="121"/>
      <c r="AL18" s="121"/>
      <c r="AM18" s="93"/>
      <c r="AN18" s="93"/>
      <c r="AO18" s="93"/>
    </row>
    <row r="19" spans="6:68" ht="15" customHeight="1">
      <c r="F19" s="136"/>
      <c r="G19" s="136"/>
      <c r="J19" s="136"/>
      <c r="M19" s="136"/>
      <c r="N19" s="136"/>
      <c r="R19" s="105"/>
      <c r="S19" s="135"/>
      <c r="AJ19" s="134"/>
      <c r="AK19" s="256"/>
      <c r="AL19" s="256"/>
      <c r="AM19" s="93"/>
      <c r="AN19" s="93"/>
      <c r="AO19" s="93"/>
      <c r="AY19" s="133" t="s">
        <v>53</v>
      </c>
      <c r="AZ19" s="101"/>
      <c r="BB19" s="49" t="s">
        <v>29</v>
      </c>
      <c r="BC19" s="132" t="s">
        <v>30</v>
      </c>
      <c r="BD19" s="132" t="s">
        <v>31</v>
      </c>
      <c r="BE19" s="131" t="s">
        <v>17</v>
      </c>
      <c r="BF19" s="131" t="s">
        <v>18</v>
      </c>
      <c r="BG19" s="131" t="s">
        <v>19</v>
      </c>
      <c r="BH19" s="131" t="s">
        <v>20</v>
      </c>
      <c r="BI19" s="131" t="s">
        <v>21</v>
      </c>
      <c r="BJ19" s="131" t="s">
        <v>22</v>
      </c>
      <c r="BK19" s="131" t="s">
        <v>23</v>
      </c>
      <c r="BL19" s="131" t="s">
        <v>24</v>
      </c>
      <c r="BM19" s="131" t="s">
        <v>25</v>
      </c>
      <c r="BN19" s="131" t="s">
        <v>26</v>
      </c>
      <c r="BO19" s="131" t="s">
        <v>27</v>
      </c>
    </row>
    <row r="20" spans="6:68" ht="15" customHeight="1">
      <c r="R20" s="243" t="s">
        <v>78</v>
      </c>
      <c r="S20" s="193"/>
      <c r="T20" s="193"/>
      <c r="U20" s="193"/>
      <c r="V20" s="193"/>
      <c r="W20" s="107">
        <f t="shared" ref="W20:W44" si="0">IF(OR(V21=0,V20=0),V20,V20+W21)</f>
        <v>0</v>
      </c>
      <c r="X20" s="195"/>
      <c r="Y20" s="193"/>
      <c r="Z20" s="193"/>
      <c r="AA20" s="193"/>
      <c r="AB20" s="193"/>
      <c r="AC20" s="193"/>
      <c r="AD20" s="193"/>
      <c r="AE20" s="193"/>
      <c r="AF20" s="181"/>
      <c r="AG20" s="181"/>
      <c r="AH20" s="128">
        <f t="shared" ref="AH20:AH45" si="1">IFERROR(BO20*$BG$51*(AJ20^2)/(AY20-2*AZ20)/2/10^-3,0)</f>
        <v>0</v>
      </c>
      <c r="AI20" s="129">
        <f t="shared" ref="AI20:AI45" si="2">IFERROR(AJ20*(AY20-2*AZ20)/$BG$53/1000,0)</f>
        <v>0</v>
      </c>
      <c r="AJ20" s="126">
        <f t="shared" ref="AJ20:AJ45" si="3">IFERROR((W20/60)*4000/((AY20-2*AZ20)^2)/PI(),0)</f>
        <v>0</v>
      </c>
      <c r="AK20" s="128">
        <f t="shared" ref="AK20:AK45" si="4">(Y20*$Y$17*($BG$51/2)*AJ20^2)+(Z20*$Z$17*($BG$51/2)*AJ20^2)+(AA20*$AA$17*($BG$51/2)*AJ20^2)+(AB20*$AB$17*($BG$51/2)*AJ20^2)+(AC20*$AC$17*($BG$51/2)*AJ20^2)+(AD20*$AD$17*($BG$51/2)*AJ20^2)+(AE20*$AE$17*($BG$51/2)*AJ20^2)+(AF20*$L$12*($BG$51/2)*AJ20^2)+(AG20*$L$13*($BG$51/2)*AJ20^2)</f>
        <v>0</v>
      </c>
      <c r="AL20" s="128">
        <f t="shared" ref="AL20:AL45" si="5">AH20*X20</f>
        <v>0</v>
      </c>
      <c r="AM20" s="127">
        <f t="shared" ref="AM20:AM45" si="6">AK20+AL20</f>
        <v>0</v>
      </c>
      <c r="AN20" s="126">
        <f t="shared" ref="AN20:AN45" si="7">(AK20+AL20)/100000</f>
        <v>0</v>
      </c>
      <c r="AO20" s="125">
        <f t="shared" ref="AO20:AO45" si="8">IF(V20=0,0,IF(AO19=0,AN20,(AN20+AO19)))</f>
        <v>0</v>
      </c>
      <c r="AP20" s="124"/>
      <c r="AY20" s="107">
        <f t="shared" ref="AY20:AY45" si="9">T20</f>
        <v>0</v>
      </c>
      <c r="AZ20" s="107">
        <f t="shared" ref="AZ20:AZ45" si="10">IFERROR(LOOKUP(AY20,$BB$49:$BC$59),0)</f>
        <v>0</v>
      </c>
      <c r="BB20" s="52">
        <f t="shared" ref="BB20:BB45" si="11">$BG$52</f>
        <v>7.0000000000000001E-3</v>
      </c>
      <c r="BC20" s="123">
        <f t="shared" ref="BC20:BC45" si="12">AY20-AZ20-AZ20</f>
        <v>0</v>
      </c>
      <c r="BD20" s="122">
        <f t="shared" ref="BD20:BD45" si="13">AI20</f>
        <v>0</v>
      </c>
      <c r="BE20" s="55">
        <v>0.1</v>
      </c>
      <c r="BF20" s="56" t="e">
        <f t="shared" ref="BF20:BF45" si="14">(-2*LOG(((BB20/BC20)/3.71)+(2.51/(BD20*(BE20)^0.5))))^(-2)</f>
        <v>#DIV/0!</v>
      </c>
      <c r="BG20" s="56" t="e">
        <f t="shared" ref="BG20:BG45" si="15">(-2*LOG(((BB20/BC20)/3.71)+(2.51/(BD20*(BF20)^0.5))))^(-2)</f>
        <v>#DIV/0!</v>
      </c>
      <c r="BH20" s="56" t="e">
        <f t="shared" ref="BH20:BH45" si="16">(-2*LOG(((BB20/BC20)/3.71)+(2.51/(BD20*(BG20)^0.5))))^(-2)</f>
        <v>#DIV/0!</v>
      </c>
      <c r="BI20" s="56" t="e">
        <f t="shared" ref="BI20:BI45" si="17">(-2*LOG(((BB20/BC20)/3.71)+(2.51/(BD20*(BH20)^0.5))))^(-2)</f>
        <v>#DIV/0!</v>
      </c>
      <c r="BJ20" s="56" t="e">
        <f t="shared" ref="BJ20:BJ45" si="18">(-2*LOG(((BB20/BC20)/3.71)+(2.51/(BD20*(BI20)^0.5))))^(-2)</f>
        <v>#DIV/0!</v>
      </c>
      <c r="BK20" s="56" t="e">
        <f t="shared" ref="BK20:BK45" si="19">(-2*LOG(((BB20/BC20)/3.71)+(2.51/(BD20*(BJ20)^0.5))))^(-2)</f>
        <v>#DIV/0!</v>
      </c>
      <c r="BL20" s="56" t="e">
        <f t="shared" ref="BL20:BL45" si="20">(-2*LOG(((BB20/BC20)/3.71)+(2.51/(BD20*(BK20)^0.5))))^(-2)</f>
        <v>#DIV/0!</v>
      </c>
      <c r="BM20" s="56" t="e">
        <f t="shared" ref="BM20:BM45" si="21">(-2*LOG(((BB20/BC20)/3.71)+(2.51/(BD20*(BL20)^0.5))))^(-2)</f>
        <v>#DIV/0!</v>
      </c>
      <c r="BN20" s="56" t="e">
        <f t="shared" ref="BN20:BN45" si="22">(-2*LOG(((BB20/BC20)/3.71)+(2.51/(BD20*(BM20)^0.5))))^(-2)</f>
        <v>#DIV/0!</v>
      </c>
      <c r="BO20" s="57" t="e">
        <f t="shared" ref="BO20:BO45" si="23">(-2*LOG(((BB20/BC20)/3.71)+(2.51/(BD20*(BN20)^0.5))))^(-2)</f>
        <v>#DIV/0!</v>
      </c>
    </row>
    <row r="21" spans="6:68" ht="15" customHeight="1">
      <c r="R21" s="243" t="s">
        <v>61</v>
      </c>
      <c r="S21" s="193" t="s">
        <v>56</v>
      </c>
      <c r="T21" s="193">
        <v>32</v>
      </c>
      <c r="U21" s="193" t="s">
        <v>68</v>
      </c>
      <c r="V21" s="193">
        <v>8</v>
      </c>
      <c r="W21" s="107">
        <f t="shared" si="0"/>
        <v>15.2</v>
      </c>
      <c r="X21" s="195">
        <v>10</v>
      </c>
      <c r="Y21" s="193">
        <v>1</v>
      </c>
      <c r="Z21" s="193"/>
      <c r="AA21" s="193"/>
      <c r="AB21" s="193">
        <v>1</v>
      </c>
      <c r="AC21" s="193"/>
      <c r="AD21" s="193"/>
      <c r="AE21" s="193"/>
      <c r="AF21" s="181"/>
      <c r="AG21" s="181"/>
      <c r="AH21" s="128">
        <f t="shared" si="1"/>
        <v>125.24721743472955</v>
      </c>
      <c r="AI21" s="129">
        <f t="shared" si="2"/>
        <v>12189.493123819584</v>
      </c>
      <c r="AJ21" s="126">
        <f t="shared" si="3"/>
        <v>0.46989397179589548</v>
      </c>
      <c r="AK21" s="128">
        <f t="shared" si="4"/>
        <v>176.35078484931506</v>
      </c>
      <c r="AL21" s="128">
        <f t="shared" si="5"/>
        <v>1252.4721743472955</v>
      </c>
      <c r="AM21" s="127">
        <f t="shared" si="6"/>
        <v>1428.8229591966106</v>
      </c>
      <c r="AN21" s="126">
        <f t="shared" si="7"/>
        <v>1.4288229591966106E-2</v>
      </c>
      <c r="AO21" s="125">
        <f t="shared" si="8"/>
        <v>1.4288229591966106E-2</v>
      </c>
      <c r="AP21" s="124"/>
      <c r="AY21" s="107">
        <f t="shared" si="9"/>
        <v>32</v>
      </c>
      <c r="AZ21" s="107">
        <f t="shared" si="10"/>
        <v>2.9</v>
      </c>
      <c r="BB21" s="52">
        <f t="shared" si="11"/>
        <v>7.0000000000000001E-3</v>
      </c>
      <c r="BC21" s="123">
        <f t="shared" si="12"/>
        <v>26.200000000000003</v>
      </c>
      <c r="BD21" s="122">
        <f t="shared" si="13"/>
        <v>12189.493123819584</v>
      </c>
      <c r="BE21" s="55">
        <v>0.1</v>
      </c>
      <c r="BF21" s="56">
        <f t="shared" si="14"/>
        <v>2.5343788401633073E-2</v>
      </c>
      <c r="BG21" s="56">
        <f t="shared" si="15"/>
        <v>3.0463274569158174E-2</v>
      </c>
      <c r="BH21" s="56">
        <f t="shared" si="16"/>
        <v>2.967598459702812E-2</v>
      </c>
      <c r="BI21" s="56">
        <f t="shared" si="17"/>
        <v>2.9785907595601544E-2</v>
      </c>
      <c r="BJ21" s="56">
        <f t="shared" si="18"/>
        <v>2.9770343973526091E-2</v>
      </c>
      <c r="BK21" s="56">
        <f t="shared" si="19"/>
        <v>2.977254324014425E-2</v>
      </c>
      <c r="BL21" s="56">
        <f t="shared" si="20"/>
        <v>2.9772232379331423E-2</v>
      </c>
      <c r="BM21" s="56">
        <f t="shared" si="21"/>
        <v>2.9772276316997949E-2</v>
      </c>
      <c r="BN21" s="56">
        <f t="shared" si="22"/>
        <v>2.9772270106728931E-2</v>
      </c>
      <c r="BO21" s="57">
        <f t="shared" si="23"/>
        <v>2.977227098450452E-2</v>
      </c>
    </row>
    <row r="22" spans="6:68" ht="15" customHeight="1">
      <c r="R22" s="243" t="s">
        <v>61</v>
      </c>
      <c r="S22" s="193" t="s">
        <v>57</v>
      </c>
      <c r="T22" s="193">
        <v>32</v>
      </c>
      <c r="U22" s="193" t="s">
        <v>69</v>
      </c>
      <c r="V22" s="193">
        <v>7.2</v>
      </c>
      <c r="W22" s="107">
        <f t="shared" si="0"/>
        <v>7.2</v>
      </c>
      <c r="X22" s="195">
        <v>15</v>
      </c>
      <c r="Y22" s="193">
        <v>1</v>
      </c>
      <c r="Z22" s="193"/>
      <c r="AA22" s="193">
        <v>1</v>
      </c>
      <c r="AB22" s="193"/>
      <c r="AC22" s="193"/>
      <c r="AD22" s="193"/>
      <c r="AE22" s="193"/>
      <c r="AF22" s="181"/>
      <c r="AG22" s="181"/>
      <c r="AH22" s="128">
        <f t="shared" si="1"/>
        <v>34.175722803626563</v>
      </c>
      <c r="AI22" s="129">
        <f t="shared" si="2"/>
        <v>5773.9704270724378</v>
      </c>
      <c r="AJ22" s="126">
        <f t="shared" si="3"/>
        <v>0.22258135506121374</v>
      </c>
      <c r="AK22" s="128">
        <f t="shared" si="4"/>
        <v>64.299645583908898</v>
      </c>
      <c r="AL22" s="128">
        <f t="shared" si="5"/>
        <v>512.63584205439849</v>
      </c>
      <c r="AM22" s="127">
        <f t="shared" si="6"/>
        <v>576.93548763830745</v>
      </c>
      <c r="AN22" s="126">
        <f t="shared" si="7"/>
        <v>5.7693548763830746E-3</v>
      </c>
      <c r="AO22" s="125">
        <f t="shared" si="8"/>
        <v>2.0057584468349182E-2</v>
      </c>
      <c r="AP22" s="124"/>
      <c r="AY22" s="107">
        <f t="shared" si="9"/>
        <v>32</v>
      </c>
      <c r="AZ22" s="107">
        <f t="shared" si="10"/>
        <v>2.9</v>
      </c>
      <c r="BB22" s="52">
        <f t="shared" si="11"/>
        <v>7.0000000000000001E-3</v>
      </c>
      <c r="BC22" s="123">
        <f t="shared" si="12"/>
        <v>26.200000000000003</v>
      </c>
      <c r="BD22" s="122">
        <f t="shared" si="13"/>
        <v>5773.9704270724378</v>
      </c>
      <c r="BE22" s="55">
        <v>0.1</v>
      </c>
      <c r="BF22" s="56">
        <f t="shared" si="14"/>
        <v>3.1004013617042834E-2</v>
      </c>
      <c r="BG22" s="56">
        <f t="shared" si="15"/>
        <v>3.7124247435796114E-2</v>
      </c>
      <c r="BH22" s="56">
        <f t="shared" si="16"/>
        <v>3.6061483077111704E-2</v>
      </c>
      <c r="BI22" s="56">
        <f t="shared" si="17"/>
        <v>3.6229524651923431E-2</v>
      </c>
      <c r="BJ22" s="56">
        <f t="shared" si="18"/>
        <v>3.6202543440011933E-2</v>
      </c>
      <c r="BK22" s="56">
        <f t="shared" si="19"/>
        <v>3.6206865015028115E-2</v>
      </c>
      <c r="BL22" s="56">
        <f t="shared" si="20"/>
        <v>3.62061725573238E-2</v>
      </c>
      <c r="BM22" s="56">
        <f t="shared" si="21"/>
        <v>3.6206283504720577E-2</v>
      </c>
      <c r="BN22" s="56">
        <f t="shared" si="22"/>
        <v>3.6206265728257275E-2</v>
      </c>
      <c r="BO22" s="57">
        <f t="shared" si="23"/>
        <v>3.6206268576473154E-2</v>
      </c>
    </row>
    <row r="23" spans="6:68" ht="15" customHeight="1">
      <c r="R23" s="243"/>
      <c r="S23" s="193"/>
      <c r="T23" s="193"/>
      <c r="U23" s="193"/>
      <c r="V23" s="193"/>
      <c r="W23" s="107">
        <f t="shared" si="0"/>
        <v>0</v>
      </c>
      <c r="X23" s="195"/>
      <c r="Y23" s="193"/>
      <c r="Z23" s="193"/>
      <c r="AA23" s="193"/>
      <c r="AB23" s="193"/>
      <c r="AC23" s="193"/>
      <c r="AD23" s="193"/>
      <c r="AE23" s="193"/>
      <c r="AF23" s="181"/>
      <c r="AG23" s="181"/>
      <c r="AH23" s="128">
        <f t="shared" si="1"/>
        <v>0</v>
      </c>
      <c r="AI23" s="129">
        <f t="shared" si="2"/>
        <v>0</v>
      </c>
      <c r="AJ23" s="126">
        <f t="shared" si="3"/>
        <v>0</v>
      </c>
      <c r="AK23" s="128">
        <f t="shared" si="4"/>
        <v>0</v>
      </c>
      <c r="AL23" s="128">
        <f t="shared" si="5"/>
        <v>0</v>
      </c>
      <c r="AM23" s="127">
        <f t="shared" si="6"/>
        <v>0</v>
      </c>
      <c r="AN23" s="126">
        <f t="shared" si="7"/>
        <v>0</v>
      </c>
      <c r="AO23" s="125">
        <f t="shared" si="8"/>
        <v>0</v>
      </c>
      <c r="AP23" s="124"/>
      <c r="AY23" s="107">
        <f t="shared" si="9"/>
        <v>0</v>
      </c>
      <c r="AZ23" s="107">
        <f t="shared" si="10"/>
        <v>0</v>
      </c>
      <c r="BB23" s="52">
        <f t="shared" si="11"/>
        <v>7.0000000000000001E-3</v>
      </c>
      <c r="BC23" s="123">
        <f t="shared" si="12"/>
        <v>0</v>
      </c>
      <c r="BD23" s="122">
        <f t="shared" si="13"/>
        <v>0</v>
      </c>
      <c r="BE23" s="55">
        <v>0.1</v>
      </c>
      <c r="BF23" s="56" t="e">
        <f t="shared" si="14"/>
        <v>#DIV/0!</v>
      </c>
      <c r="BG23" s="56" t="e">
        <f t="shared" si="15"/>
        <v>#DIV/0!</v>
      </c>
      <c r="BH23" s="56" t="e">
        <f t="shared" si="16"/>
        <v>#DIV/0!</v>
      </c>
      <c r="BI23" s="56" t="e">
        <f t="shared" si="17"/>
        <v>#DIV/0!</v>
      </c>
      <c r="BJ23" s="56" t="e">
        <f t="shared" si="18"/>
        <v>#DIV/0!</v>
      </c>
      <c r="BK23" s="56" t="e">
        <f t="shared" si="19"/>
        <v>#DIV/0!</v>
      </c>
      <c r="BL23" s="56" t="e">
        <f t="shared" si="20"/>
        <v>#DIV/0!</v>
      </c>
      <c r="BM23" s="56" t="e">
        <f t="shared" si="21"/>
        <v>#DIV/0!</v>
      </c>
      <c r="BN23" s="56" t="e">
        <f t="shared" si="22"/>
        <v>#DIV/0!</v>
      </c>
      <c r="BO23" s="57" t="e">
        <f t="shared" si="23"/>
        <v>#DIV/0!</v>
      </c>
    </row>
    <row r="24" spans="6:68" ht="15" customHeight="1">
      <c r="R24" s="243"/>
      <c r="S24" s="193"/>
      <c r="T24" s="193"/>
      <c r="U24" s="193"/>
      <c r="V24" s="193"/>
      <c r="W24" s="107">
        <f t="shared" si="0"/>
        <v>0</v>
      </c>
      <c r="X24" s="195"/>
      <c r="Y24" s="193"/>
      <c r="Z24" s="193"/>
      <c r="AA24" s="193"/>
      <c r="AB24" s="193"/>
      <c r="AC24" s="193"/>
      <c r="AD24" s="193"/>
      <c r="AE24" s="193"/>
      <c r="AF24" s="181"/>
      <c r="AG24" s="181"/>
      <c r="AH24" s="128">
        <f t="shared" si="1"/>
        <v>0</v>
      </c>
      <c r="AI24" s="129">
        <f t="shared" si="2"/>
        <v>0</v>
      </c>
      <c r="AJ24" s="126">
        <f t="shared" si="3"/>
        <v>0</v>
      </c>
      <c r="AK24" s="128">
        <f t="shared" si="4"/>
        <v>0</v>
      </c>
      <c r="AL24" s="128">
        <f t="shared" si="5"/>
        <v>0</v>
      </c>
      <c r="AM24" s="127">
        <f t="shared" si="6"/>
        <v>0</v>
      </c>
      <c r="AN24" s="126">
        <f t="shared" si="7"/>
        <v>0</v>
      </c>
      <c r="AO24" s="125">
        <f t="shared" si="8"/>
        <v>0</v>
      </c>
      <c r="AP24" s="124"/>
      <c r="AY24" s="107">
        <f t="shared" si="9"/>
        <v>0</v>
      </c>
      <c r="AZ24" s="107">
        <f t="shared" si="10"/>
        <v>0</v>
      </c>
      <c r="BB24" s="52">
        <f t="shared" si="11"/>
        <v>7.0000000000000001E-3</v>
      </c>
      <c r="BC24" s="123">
        <f t="shared" si="12"/>
        <v>0</v>
      </c>
      <c r="BD24" s="122">
        <f t="shared" si="13"/>
        <v>0</v>
      </c>
      <c r="BE24" s="55">
        <v>0.1</v>
      </c>
      <c r="BF24" s="56" t="e">
        <f t="shared" si="14"/>
        <v>#DIV/0!</v>
      </c>
      <c r="BG24" s="56" t="e">
        <f t="shared" si="15"/>
        <v>#DIV/0!</v>
      </c>
      <c r="BH24" s="56" t="e">
        <f t="shared" si="16"/>
        <v>#DIV/0!</v>
      </c>
      <c r="BI24" s="56" t="e">
        <f t="shared" si="17"/>
        <v>#DIV/0!</v>
      </c>
      <c r="BJ24" s="56" t="e">
        <f t="shared" si="18"/>
        <v>#DIV/0!</v>
      </c>
      <c r="BK24" s="56" t="e">
        <f t="shared" si="19"/>
        <v>#DIV/0!</v>
      </c>
      <c r="BL24" s="56" t="e">
        <f t="shared" si="20"/>
        <v>#DIV/0!</v>
      </c>
      <c r="BM24" s="56" t="e">
        <f t="shared" si="21"/>
        <v>#DIV/0!</v>
      </c>
      <c r="BN24" s="56" t="e">
        <f t="shared" si="22"/>
        <v>#DIV/0!</v>
      </c>
      <c r="BO24" s="57" t="e">
        <f t="shared" si="23"/>
        <v>#DIV/0!</v>
      </c>
    </row>
    <row r="25" spans="6:68" ht="15" customHeight="1">
      <c r="R25" s="243"/>
      <c r="S25" s="193"/>
      <c r="T25" s="193"/>
      <c r="U25" s="193"/>
      <c r="V25" s="193"/>
      <c r="W25" s="107">
        <f t="shared" si="0"/>
        <v>0</v>
      </c>
      <c r="X25" s="195"/>
      <c r="Y25" s="193"/>
      <c r="Z25" s="193"/>
      <c r="AA25" s="193"/>
      <c r="AB25" s="193"/>
      <c r="AC25" s="193"/>
      <c r="AD25" s="193"/>
      <c r="AE25" s="193"/>
      <c r="AF25" s="181"/>
      <c r="AG25" s="181"/>
      <c r="AH25" s="128">
        <f t="shared" si="1"/>
        <v>0</v>
      </c>
      <c r="AI25" s="129">
        <f t="shared" si="2"/>
        <v>0</v>
      </c>
      <c r="AJ25" s="126">
        <f t="shared" si="3"/>
        <v>0</v>
      </c>
      <c r="AK25" s="128">
        <f t="shared" si="4"/>
        <v>0</v>
      </c>
      <c r="AL25" s="128">
        <f t="shared" si="5"/>
        <v>0</v>
      </c>
      <c r="AM25" s="127">
        <f t="shared" si="6"/>
        <v>0</v>
      </c>
      <c r="AN25" s="126">
        <f t="shared" si="7"/>
        <v>0</v>
      </c>
      <c r="AO25" s="125">
        <f t="shared" si="8"/>
        <v>0</v>
      </c>
      <c r="AP25" s="124"/>
      <c r="AY25" s="107">
        <f t="shared" si="9"/>
        <v>0</v>
      </c>
      <c r="AZ25" s="107">
        <f t="shared" si="10"/>
        <v>0</v>
      </c>
      <c r="BB25" s="52">
        <f t="shared" si="11"/>
        <v>7.0000000000000001E-3</v>
      </c>
      <c r="BC25" s="123">
        <f t="shared" si="12"/>
        <v>0</v>
      </c>
      <c r="BD25" s="122">
        <f t="shared" si="13"/>
        <v>0</v>
      </c>
      <c r="BE25" s="55">
        <v>0.1</v>
      </c>
      <c r="BF25" s="56" t="e">
        <f t="shared" si="14"/>
        <v>#DIV/0!</v>
      </c>
      <c r="BG25" s="56" t="e">
        <f t="shared" si="15"/>
        <v>#DIV/0!</v>
      </c>
      <c r="BH25" s="56" t="e">
        <f t="shared" si="16"/>
        <v>#DIV/0!</v>
      </c>
      <c r="BI25" s="56" t="e">
        <f t="shared" si="17"/>
        <v>#DIV/0!</v>
      </c>
      <c r="BJ25" s="56" t="e">
        <f t="shared" si="18"/>
        <v>#DIV/0!</v>
      </c>
      <c r="BK25" s="56" t="e">
        <f t="shared" si="19"/>
        <v>#DIV/0!</v>
      </c>
      <c r="BL25" s="56" t="e">
        <f t="shared" si="20"/>
        <v>#DIV/0!</v>
      </c>
      <c r="BM25" s="56" t="e">
        <f t="shared" si="21"/>
        <v>#DIV/0!</v>
      </c>
      <c r="BN25" s="56" t="e">
        <f t="shared" si="22"/>
        <v>#DIV/0!</v>
      </c>
      <c r="BO25" s="57" t="e">
        <f t="shared" si="23"/>
        <v>#DIV/0!</v>
      </c>
    </row>
    <row r="26" spans="6:68" ht="15" customHeight="1">
      <c r="R26" s="243"/>
      <c r="S26" s="193"/>
      <c r="T26" s="193"/>
      <c r="U26" s="193"/>
      <c r="V26" s="193"/>
      <c r="W26" s="107">
        <f t="shared" si="0"/>
        <v>0</v>
      </c>
      <c r="X26" s="195"/>
      <c r="Y26" s="193"/>
      <c r="Z26" s="193"/>
      <c r="AA26" s="193"/>
      <c r="AB26" s="193"/>
      <c r="AC26" s="193"/>
      <c r="AD26" s="193"/>
      <c r="AE26" s="193"/>
      <c r="AF26" s="181"/>
      <c r="AG26" s="181"/>
      <c r="AH26" s="128">
        <f t="shared" si="1"/>
        <v>0</v>
      </c>
      <c r="AI26" s="129">
        <f t="shared" si="2"/>
        <v>0</v>
      </c>
      <c r="AJ26" s="126">
        <f t="shared" si="3"/>
        <v>0</v>
      </c>
      <c r="AK26" s="128">
        <f t="shared" si="4"/>
        <v>0</v>
      </c>
      <c r="AL26" s="128">
        <f t="shared" si="5"/>
        <v>0</v>
      </c>
      <c r="AM26" s="127">
        <f t="shared" si="6"/>
        <v>0</v>
      </c>
      <c r="AN26" s="126">
        <f t="shared" si="7"/>
        <v>0</v>
      </c>
      <c r="AO26" s="125">
        <f t="shared" si="8"/>
        <v>0</v>
      </c>
      <c r="AP26" s="124"/>
      <c r="AQ26" s="93"/>
      <c r="AR26" s="93"/>
      <c r="AS26" s="93"/>
      <c r="AV26" s="118"/>
      <c r="AY26" s="107">
        <f t="shared" si="9"/>
        <v>0</v>
      </c>
      <c r="AZ26" s="107">
        <f t="shared" si="10"/>
        <v>0</v>
      </c>
      <c r="BB26" s="52">
        <f t="shared" si="11"/>
        <v>7.0000000000000001E-3</v>
      </c>
      <c r="BC26" s="123">
        <f t="shared" si="12"/>
        <v>0</v>
      </c>
      <c r="BD26" s="122">
        <f t="shared" si="13"/>
        <v>0</v>
      </c>
      <c r="BE26" s="55">
        <v>0.1</v>
      </c>
      <c r="BF26" s="56" t="e">
        <f t="shared" si="14"/>
        <v>#DIV/0!</v>
      </c>
      <c r="BG26" s="56" t="e">
        <f t="shared" si="15"/>
        <v>#DIV/0!</v>
      </c>
      <c r="BH26" s="56" t="e">
        <f t="shared" si="16"/>
        <v>#DIV/0!</v>
      </c>
      <c r="BI26" s="56" t="e">
        <f t="shared" si="17"/>
        <v>#DIV/0!</v>
      </c>
      <c r="BJ26" s="56" t="e">
        <f t="shared" si="18"/>
        <v>#DIV/0!</v>
      </c>
      <c r="BK26" s="56" t="e">
        <f t="shared" si="19"/>
        <v>#DIV/0!</v>
      </c>
      <c r="BL26" s="56" t="e">
        <f t="shared" si="20"/>
        <v>#DIV/0!</v>
      </c>
      <c r="BM26" s="56" t="e">
        <f t="shared" si="21"/>
        <v>#DIV/0!</v>
      </c>
      <c r="BN26" s="56" t="e">
        <f t="shared" si="22"/>
        <v>#DIV/0!</v>
      </c>
      <c r="BO26" s="57" t="e">
        <f t="shared" si="23"/>
        <v>#DIV/0!</v>
      </c>
    </row>
    <row r="27" spans="6:68" ht="15" customHeight="1">
      <c r="R27" s="243"/>
      <c r="S27" s="193"/>
      <c r="T27" s="193"/>
      <c r="U27" s="193"/>
      <c r="V27" s="193"/>
      <c r="W27" s="107">
        <f t="shared" si="0"/>
        <v>0</v>
      </c>
      <c r="X27" s="195"/>
      <c r="Y27" s="193"/>
      <c r="Z27" s="193"/>
      <c r="AA27" s="193"/>
      <c r="AB27" s="193"/>
      <c r="AC27" s="193"/>
      <c r="AD27" s="193"/>
      <c r="AE27" s="193"/>
      <c r="AF27" s="181"/>
      <c r="AG27" s="181"/>
      <c r="AH27" s="128">
        <f t="shared" si="1"/>
        <v>0</v>
      </c>
      <c r="AI27" s="129">
        <f t="shared" si="2"/>
        <v>0</v>
      </c>
      <c r="AJ27" s="126">
        <f t="shared" si="3"/>
        <v>0</v>
      </c>
      <c r="AK27" s="128">
        <f t="shared" si="4"/>
        <v>0</v>
      </c>
      <c r="AL27" s="128">
        <f t="shared" si="5"/>
        <v>0</v>
      </c>
      <c r="AM27" s="127">
        <f t="shared" si="6"/>
        <v>0</v>
      </c>
      <c r="AN27" s="126">
        <f t="shared" si="7"/>
        <v>0</v>
      </c>
      <c r="AO27" s="125">
        <f t="shared" si="8"/>
        <v>0</v>
      </c>
      <c r="AP27" s="124"/>
      <c r="AY27" s="107">
        <f t="shared" si="9"/>
        <v>0</v>
      </c>
      <c r="AZ27" s="107">
        <f t="shared" si="10"/>
        <v>0</v>
      </c>
      <c r="BB27" s="52">
        <f t="shared" si="11"/>
        <v>7.0000000000000001E-3</v>
      </c>
      <c r="BC27" s="123">
        <f t="shared" si="12"/>
        <v>0</v>
      </c>
      <c r="BD27" s="122">
        <f t="shared" si="13"/>
        <v>0</v>
      </c>
      <c r="BE27" s="55">
        <v>0.1</v>
      </c>
      <c r="BF27" s="56" t="e">
        <f t="shared" si="14"/>
        <v>#DIV/0!</v>
      </c>
      <c r="BG27" s="56" t="e">
        <f t="shared" si="15"/>
        <v>#DIV/0!</v>
      </c>
      <c r="BH27" s="56" t="e">
        <f t="shared" si="16"/>
        <v>#DIV/0!</v>
      </c>
      <c r="BI27" s="56" t="e">
        <f t="shared" si="17"/>
        <v>#DIV/0!</v>
      </c>
      <c r="BJ27" s="56" t="e">
        <f t="shared" si="18"/>
        <v>#DIV/0!</v>
      </c>
      <c r="BK27" s="56" t="e">
        <f t="shared" si="19"/>
        <v>#DIV/0!</v>
      </c>
      <c r="BL27" s="56" t="e">
        <f t="shared" si="20"/>
        <v>#DIV/0!</v>
      </c>
      <c r="BM27" s="56" t="e">
        <f t="shared" si="21"/>
        <v>#DIV/0!</v>
      </c>
      <c r="BN27" s="56" t="e">
        <f t="shared" si="22"/>
        <v>#DIV/0!</v>
      </c>
      <c r="BO27" s="57" t="e">
        <f t="shared" si="23"/>
        <v>#DIV/0!</v>
      </c>
    </row>
    <row r="28" spans="6:68" ht="15" customHeight="1">
      <c r="R28" s="243"/>
      <c r="S28" s="193"/>
      <c r="T28" s="193"/>
      <c r="U28" s="193"/>
      <c r="V28" s="193"/>
      <c r="W28" s="107">
        <f t="shared" si="0"/>
        <v>0</v>
      </c>
      <c r="X28" s="195"/>
      <c r="Y28" s="193"/>
      <c r="Z28" s="193"/>
      <c r="AA28" s="193"/>
      <c r="AB28" s="193"/>
      <c r="AC28" s="193"/>
      <c r="AD28" s="193"/>
      <c r="AE28" s="193"/>
      <c r="AF28" s="181"/>
      <c r="AG28" s="181"/>
      <c r="AH28" s="128">
        <f t="shared" si="1"/>
        <v>0</v>
      </c>
      <c r="AI28" s="129">
        <f t="shared" si="2"/>
        <v>0</v>
      </c>
      <c r="AJ28" s="126">
        <f t="shared" si="3"/>
        <v>0</v>
      </c>
      <c r="AK28" s="128">
        <f t="shared" si="4"/>
        <v>0</v>
      </c>
      <c r="AL28" s="128">
        <f t="shared" si="5"/>
        <v>0</v>
      </c>
      <c r="AM28" s="127">
        <f t="shared" si="6"/>
        <v>0</v>
      </c>
      <c r="AN28" s="126">
        <f t="shared" si="7"/>
        <v>0</v>
      </c>
      <c r="AO28" s="125">
        <f t="shared" si="8"/>
        <v>0</v>
      </c>
      <c r="AP28" s="124"/>
      <c r="AQ28" s="130"/>
      <c r="AR28" s="130"/>
      <c r="AS28" s="130"/>
      <c r="AY28" s="107">
        <f t="shared" si="9"/>
        <v>0</v>
      </c>
      <c r="AZ28" s="107">
        <f t="shared" si="10"/>
        <v>0</v>
      </c>
      <c r="BB28" s="52">
        <f t="shared" si="11"/>
        <v>7.0000000000000001E-3</v>
      </c>
      <c r="BC28" s="123">
        <f t="shared" si="12"/>
        <v>0</v>
      </c>
      <c r="BD28" s="122">
        <f t="shared" si="13"/>
        <v>0</v>
      </c>
      <c r="BE28" s="55">
        <v>0.1</v>
      </c>
      <c r="BF28" s="56" t="e">
        <f t="shared" si="14"/>
        <v>#DIV/0!</v>
      </c>
      <c r="BG28" s="56" t="e">
        <f t="shared" si="15"/>
        <v>#DIV/0!</v>
      </c>
      <c r="BH28" s="56" t="e">
        <f t="shared" si="16"/>
        <v>#DIV/0!</v>
      </c>
      <c r="BI28" s="56" t="e">
        <f t="shared" si="17"/>
        <v>#DIV/0!</v>
      </c>
      <c r="BJ28" s="56" t="e">
        <f t="shared" si="18"/>
        <v>#DIV/0!</v>
      </c>
      <c r="BK28" s="56" t="e">
        <f t="shared" si="19"/>
        <v>#DIV/0!</v>
      </c>
      <c r="BL28" s="56" t="e">
        <f t="shared" si="20"/>
        <v>#DIV/0!</v>
      </c>
      <c r="BM28" s="56" t="e">
        <f t="shared" si="21"/>
        <v>#DIV/0!</v>
      </c>
      <c r="BN28" s="56" t="e">
        <f t="shared" si="22"/>
        <v>#DIV/0!</v>
      </c>
      <c r="BO28" s="57" t="e">
        <f t="shared" si="23"/>
        <v>#DIV/0!</v>
      </c>
    </row>
    <row r="29" spans="6:68" ht="15" customHeight="1">
      <c r="R29" s="243"/>
      <c r="S29" s="193"/>
      <c r="T29" s="193"/>
      <c r="U29" s="193"/>
      <c r="V29" s="193"/>
      <c r="W29" s="107">
        <f t="shared" si="0"/>
        <v>0</v>
      </c>
      <c r="X29" s="195"/>
      <c r="Y29" s="193"/>
      <c r="Z29" s="193"/>
      <c r="AA29" s="193"/>
      <c r="AB29" s="193"/>
      <c r="AC29" s="193"/>
      <c r="AD29" s="193"/>
      <c r="AE29" s="193"/>
      <c r="AF29" s="181"/>
      <c r="AG29" s="181"/>
      <c r="AH29" s="128">
        <f t="shared" si="1"/>
        <v>0</v>
      </c>
      <c r="AI29" s="129">
        <f t="shared" si="2"/>
        <v>0</v>
      </c>
      <c r="AJ29" s="126">
        <f t="shared" si="3"/>
        <v>0</v>
      </c>
      <c r="AK29" s="128">
        <f t="shared" si="4"/>
        <v>0</v>
      </c>
      <c r="AL29" s="128">
        <f t="shared" si="5"/>
        <v>0</v>
      </c>
      <c r="AM29" s="127">
        <f t="shared" si="6"/>
        <v>0</v>
      </c>
      <c r="AN29" s="126">
        <f t="shared" si="7"/>
        <v>0</v>
      </c>
      <c r="AO29" s="125">
        <f t="shared" si="8"/>
        <v>0</v>
      </c>
      <c r="AP29" s="124"/>
      <c r="AY29" s="107">
        <f t="shared" si="9"/>
        <v>0</v>
      </c>
      <c r="AZ29" s="107">
        <f t="shared" si="10"/>
        <v>0</v>
      </c>
      <c r="BB29" s="52">
        <f t="shared" si="11"/>
        <v>7.0000000000000001E-3</v>
      </c>
      <c r="BC29" s="123">
        <f t="shared" si="12"/>
        <v>0</v>
      </c>
      <c r="BD29" s="122">
        <f t="shared" si="13"/>
        <v>0</v>
      </c>
      <c r="BE29" s="55">
        <v>0.1</v>
      </c>
      <c r="BF29" s="56" t="e">
        <f t="shared" si="14"/>
        <v>#DIV/0!</v>
      </c>
      <c r="BG29" s="56" t="e">
        <f t="shared" si="15"/>
        <v>#DIV/0!</v>
      </c>
      <c r="BH29" s="56" t="e">
        <f t="shared" si="16"/>
        <v>#DIV/0!</v>
      </c>
      <c r="BI29" s="56" t="e">
        <f t="shared" si="17"/>
        <v>#DIV/0!</v>
      </c>
      <c r="BJ29" s="56" t="e">
        <f t="shared" si="18"/>
        <v>#DIV/0!</v>
      </c>
      <c r="BK29" s="56" t="e">
        <f t="shared" si="19"/>
        <v>#DIV/0!</v>
      </c>
      <c r="BL29" s="56" t="e">
        <f t="shared" si="20"/>
        <v>#DIV/0!</v>
      </c>
      <c r="BM29" s="56" t="e">
        <f t="shared" si="21"/>
        <v>#DIV/0!</v>
      </c>
      <c r="BN29" s="56" t="e">
        <f t="shared" si="22"/>
        <v>#DIV/0!</v>
      </c>
      <c r="BO29" s="57" t="e">
        <f t="shared" si="23"/>
        <v>#DIV/0!</v>
      </c>
    </row>
    <row r="30" spans="6:68" ht="15" customHeight="1">
      <c r="R30" s="243"/>
      <c r="S30" s="193"/>
      <c r="T30" s="193"/>
      <c r="U30" s="193"/>
      <c r="V30" s="193"/>
      <c r="W30" s="107">
        <f t="shared" si="0"/>
        <v>0</v>
      </c>
      <c r="X30" s="195"/>
      <c r="Y30" s="193"/>
      <c r="Z30" s="193"/>
      <c r="AA30" s="193"/>
      <c r="AB30" s="193"/>
      <c r="AC30" s="193"/>
      <c r="AD30" s="193"/>
      <c r="AE30" s="193"/>
      <c r="AF30" s="181"/>
      <c r="AG30" s="181"/>
      <c r="AH30" s="128">
        <f t="shared" si="1"/>
        <v>0</v>
      </c>
      <c r="AI30" s="129">
        <f t="shared" si="2"/>
        <v>0</v>
      </c>
      <c r="AJ30" s="126">
        <f t="shared" si="3"/>
        <v>0</v>
      </c>
      <c r="AK30" s="128">
        <f t="shared" si="4"/>
        <v>0</v>
      </c>
      <c r="AL30" s="128">
        <f t="shared" si="5"/>
        <v>0</v>
      </c>
      <c r="AM30" s="127">
        <f t="shared" si="6"/>
        <v>0</v>
      </c>
      <c r="AN30" s="126">
        <f t="shared" si="7"/>
        <v>0</v>
      </c>
      <c r="AO30" s="125">
        <f t="shared" si="8"/>
        <v>0</v>
      </c>
      <c r="AP30" s="124"/>
      <c r="AY30" s="107">
        <f t="shared" si="9"/>
        <v>0</v>
      </c>
      <c r="AZ30" s="107">
        <f t="shared" si="10"/>
        <v>0</v>
      </c>
      <c r="BB30" s="52">
        <f t="shared" si="11"/>
        <v>7.0000000000000001E-3</v>
      </c>
      <c r="BC30" s="123">
        <f t="shared" si="12"/>
        <v>0</v>
      </c>
      <c r="BD30" s="122">
        <f t="shared" si="13"/>
        <v>0</v>
      </c>
      <c r="BE30" s="55">
        <v>0.1</v>
      </c>
      <c r="BF30" s="56" t="e">
        <f t="shared" si="14"/>
        <v>#DIV/0!</v>
      </c>
      <c r="BG30" s="56" t="e">
        <f t="shared" si="15"/>
        <v>#DIV/0!</v>
      </c>
      <c r="BH30" s="56" t="e">
        <f t="shared" si="16"/>
        <v>#DIV/0!</v>
      </c>
      <c r="BI30" s="56" t="e">
        <f t="shared" si="17"/>
        <v>#DIV/0!</v>
      </c>
      <c r="BJ30" s="56" t="e">
        <f t="shared" si="18"/>
        <v>#DIV/0!</v>
      </c>
      <c r="BK30" s="56" t="e">
        <f t="shared" si="19"/>
        <v>#DIV/0!</v>
      </c>
      <c r="BL30" s="56" t="e">
        <f t="shared" si="20"/>
        <v>#DIV/0!</v>
      </c>
      <c r="BM30" s="56" t="e">
        <f t="shared" si="21"/>
        <v>#DIV/0!</v>
      </c>
      <c r="BN30" s="56" t="e">
        <f t="shared" si="22"/>
        <v>#DIV/0!</v>
      </c>
      <c r="BO30" s="57" t="e">
        <f t="shared" si="23"/>
        <v>#DIV/0!</v>
      </c>
    </row>
    <row r="31" spans="6:68" ht="15" customHeight="1">
      <c r="R31" s="243"/>
      <c r="S31" s="193"/>
      <c r="T31" s="193"/>
      <c r="U31" s="193"/>
      <c r="V31" s="193"/>
      <c r="W31" s="107">
        <f t="shared" si="0"/>
        <v>0</v>
      </c>
      <c r="X31" s="195"/>
      <c r="Y31" s="193"/>
      <c r="Z31" s="193"/>
      <c r="AA31" s="193"/>
      <c r="AB31" s="193"/>
      <c r="AC31" s="193"/>
      <c r="AD31" s="193"/>
      <c r="AE31" s="193"/>
      <c r="AF31" s="181"/>
      <c r="AG31" s="181"/>
      <c r="AH31" s="128">
        <f t="shared" si="1"/>
        <v>0</v>
      </c>
      <c r="AI31" s="129">
        <f t="shared" si="2"/>
        <v>0</v>
      </c>
      <c r="AJ31" s="126">
        <f t="shared" si="3"/>
        <v>0</v>
      </c>
      <c r="AK31" s="128">
        <f t="shared" si="4"/>
        <v>0</v>
      </c>
      <c r="AL31" s="128">
        <f t="shared" si="5"/>
        <v>0</v>
      </c>
      <c r="AM31" s="127">
        <f t="shared" si="6"/>
        <v>0</v>
      </c>
      <c r="AN31" s="126">
        <f t="shared" si="7"/>
        <v>0</v>
      </c>
      <c r="AO31" s="125">
        <f t="shared" si="8"/>
        <v>0</v>
      </c>
      <c r="AP31" s="124"/>
      <c r="AY31" s="107">
        <f t="shared" si="9"/>
        <v>0</v>
      </c>
      <c r="AZ31" s="107">
        <f t="shared" si="10"/>
        <v>0</v>
      </c>
      <c r="BB31" s="52">
        <f t="shared" si="11"/>
        <v>7.0000000000000001E-3</v>
      </c>
      <c r="BC31" s="123">
        <f t="shared" si="12"/>
        <v>0</v>
      </c>
      <c r="BD31" s="122">
        <f t="shared" si="13"/>
        <v>0</v>
      </c>
      <c r="BE31" s="55">
        <v>0.1</v>
      </c>
      <c r="BF31" s="56" t="e">
        <f t="shared" si="14"/>
        <v>#DIV/0!</v>
      </c>
      <c r="BG31" s="56" t="e">
        <f t="shared" si="15"/>
        <v>#DIV/0!</v>
      </c>
      <c r="BH31" s="56" t="e">
        <f t="shared" si="16"/>
        <v>#DIV/0!</v>
      </c>
      <c r="BI31" s="56" t="e">
        <f t="shared" si="17"/>
        <v>#DIV/0!</v>
      </c>
      <c r="BJ31" s="56" t="e">
        <f t="shared" si="18"/>
        <v>#DIV/0!</v>
      </c>
      <c r="BK31" s="56" t="e">
        <f t="shared" si="19"/>
        <v>#DIV/0!</v>
      </c>
      <c r="BL31" s="56" t="e">
        <f t="shared" si="20"/>
        <v>#DIV/0!</v>
      </c>
      <c r="BM31" s="56" t="e">
        <f t="shared" si="21"/>
        <v>#DIV/0!</v>
      </c>
      <c r="BN31" s="56" t="e">
        <f t="shared" si="22"/>
        <v>#DIV/0!</v>
      </c>
      <c r="BO31" s="57" t="e">
        <f t="shared" si="23"/>
        <v>#DIV/0!</v>
      </c>
    </row>
    <row r="32" spans="6:68" ht="15" customHeight="1">
      <c r="R32" s="182"/>
      <c r="S32" s="163"/>
      <c r="T32" s="163"/>
      <c r="U32" s="163"/>
      <c r="V32" s="163"/>
      <c r="W32" s="163">
        <f t="shared" si="0"/>
        <v>0</v>
      </c>
      <c r="X32" s="183"/>
      <c r="Y32" s="163"/>
      <c r="Z32" s="163"/>
      <c r="AA32" s="163"/>
      <c r="AB32" s="163"/>
      <c r="AC32" s="163"/>
      <c r="AD32" s="163"/>
      <c r="AE32" s="163"/>
      <c r="AF32" s="163"/>
      <c r="AG32" s="163"/>
      <c r="AH32" s="164">
        <f t="shared" si="1"/>
        <v>0</v>
      </c>
      <c r="AI32" s="164">
        <f t="shared" si="2"/>
        <v>0</v>
      </c>
      <c r="AJ32" s="165">
        <f t="shared" si="3"/>
        <v>0</v>
      </c>
      <c r="AK32" s="164">
        <f>SUM(AK20:AK31)</f>
        <v>240.65043043322396</v>
      </c>
      <c r="AL32" s="164">
        <f>SUM(AL20:AL31)</f>
        <v>1765.1080164016939</v>
      </c>
      <c r="AM32" s="164">
        <f>SUM(AM20:AM31)</f>
        <v>2005.758446834918</v>
      </c>
      <c r="AN32" s="166">
        <f>SUM(AN20:AN31)</f>
        <v>2.0057584468349182E-2</v>
      </c>
      <c r="AO32" s="166">
        <f t="shared" si="8"/>
        <v>0</v>
      </c>
      <c r="AP32" s="124"/>
      <c r="AY32" s="107">
        <f t="shared" si="9"/>
        <v>0</v>
      </c>
      <c r="AZ32" s="107">
        <f t="shared" si="10"/>
        <v>0</v>
      </c>
      <c r="BB32" s="52">
        <f t="shared" si="11"/>
        <v>7.0000000000000001E-3</v>
      </c>
      <c r="BC32" s="123">
        <f t="shared" si="12"/>
        <v>0</v>
      </c>
      <c r="BD32" s="122">
        <f t="shared" si="13"/>
        <v>0</v>
      </c>
      <c r="BE32" s="55">
        <v>0.1</v>
      </c>
      <c r="BF32" s="56" t="e">
        <f t="shared" si="14"/>
        <v>#DIV/0!</v>
      </c>
      <c r="BG32" s="56" t="e">
        <f t="shared" si="15"/>
        <v>#DIV/0!</v>
      </c>
      <c r="BH32" s="56" t="e">
        <f t="shared" si="16"/>
        <v>#DIV/0!</v>
      </c>
      <c r="BI32" s="56" t="e">
        <f t="shared" si="17"/>
        <v>#DIV/0!</v>
      </c>
      <c r="BJ32" s="56" t="e">
        <f t="shared" si="18"/>
        <v>#DIV/0!</v>
      </c>
      <c r="BK32" s="56" t="e">
        <f t="shared" si="19"/>
        <v>#DIV/0!</v>
      </c>
      <c r="BL32" s="56" t="e">
        <f t="shared" si="20"/>
        <v>#DIV/0!</v>
      </c>
      <c r="BM32" s="56" t="e">
        <f t="shared" si="21"/>
        <v>#DIV/0!</v>
      </c>
      <c r="BN32" s="56" t="e">
        <f t="shared" si="22"/>
        <v>#DIV/0!</v>
      </c>
      <c r="BO32" s="57" t="e">
        <f t="shared" si="23"/>
        <v>#DIV/0!</v>
      </c>
    </row>
    <row r="33" spans="18:67" ht="15" customHeight="1">
      <c r="R33" s="184"/>
      <c r="S33" s="154"/>
      <c r="T33" s="154"/>
      <c r="U33" s="154"/>
      <c r="V33" s="154"/>
      <c r="W33" s="154">
        <f t="shared" si="0"/>
        <v>0</v>
      </c>
      <c r="X33" s="185"/>
      <c r="Y33" s="154"/>
      <c r="Z33" s="154"/>
      <c r="AA33" s="154"/>
      <c r="AB33" s="154"/>
      <c r="AC33" s="154"/>
      <c r="AD33" s="154"/>
      <c r="AE33" s="154"/>
      <c r="AF33" s="154"/>
      <c r="AG33" s="154"/>
      <c r="AH33" s="167">
        <f t="shared" si="1"/>
        <v>0</v>
      </c>
      <c r="AI33" s="167">
        <f t="shared" si="2"/>
        <v>0</v>
      </c>
      <c r="AJ33" s="168">
        <f t="shared" si="3"/>
        <v>0</v>
      </c>
      <c r="AK33" s="167">
        <f t="shared" si="4"/>
        <v>0</v>
      </c>
      <c r="AL33" s="167">
        <f t="shared" si="5"/>
        <v>0</v>
      </c>
      <c r="AM33" s="167">
        <f t="shared" si="6"/>
        <v>0</v>
      </c>
      <c r="AN33" s="168">
        <f t="shared" si="7"/>
        <v>0</v>
      </c>
      <c r="AO33" s="169">
        <f t="shared" si="8"/>
        <v>0</v>
      </c>
      <c r="AP33" s="124"/>
      <c r="AY33" s="107">
        <f t="shared" si="9"/>
        <v>0</v>
      </c>
      <c r="AZ33" s="107">
        <f t="shared" si="10"/>
        <v>0</v>
      </c>
      <c r="BB33" s="52">
        <f t="shared" si="11"/>
        <v>7.0000000000000001E-3</v>
      </c>
      <c r="BC33" s="123">
        <f t="shared" si="12"/>
        <v>0</v>
      </c>
      <c r="BD33" s="122">
        <f t="shared" si="13"/>
        <v>0</v>
      </c>
      <c r="BE33" s="55">
        <v>0.1</v>
      </c>
      <c r="BF33" s="56" t="e">
        <f t="shared" si="14"/>
        <v>#DIV/0!</v>
      </c>
      <c r="BG33" s="56" t="e">
        <f t="shared" si="15"/>
        <v>#DIV/0!</v>
      </c>
      <c r="BH33" s="56" t="e">
        <f t="shared" si="16"/>
        <v>#DIV/0!</v>
      </c>
      <c r="BI33" s="56" t="e">
        <f t="shared" si="17"/>
        <v>#DIV/0!</v>
      </c>
      <c r="BJ33" s="56" t="e">
        <f t="shared" si="18"/>
        <v>#DIV/0!</v>
      </c>
      <c r="BK33" s="56" t="e">
        <f t="shared" si="19"/>
        <v>#DIV/0!</v>
      </c>
      <c r="BL33" s="56" t="e">
        <f t="shared" si="20"/>
        <v>#DIV/0!</v>
      </c>
      <c r="BM33" s="56" t="e">
        <f t="shared" si="21"/>
        <v>#DIV/0!</v>
      </c>
      <c r="BN33" s="56" t="e">
        <f t="shared" si="22"/>
        <v>#DIV/0!</v>
      </c>
      <c r="BO33" s="57" t="e">
        <f t="shared" si="23"/>
        <v>#DIV/0!</v>
      </c>
    </row>
    <row r="34" spans="18:67" ht="15" customHeight="1">
      <c r="R34" s="243" t="s">
        <v>79</v>
      </c>
      <c r="S34" s="193"/>
      <c r="T34" s="193"/>
      <c r="U34" s="193"/>
      <c r="V34" s="193"/>
      <c r="W34" s="107">
        <f t="shared" si="0"/>
        <v>0</v>
      </c>
      <c r="X34" s="195"/>
      <c r="Y34" s="193"/>
      <c r="Z34" s="193"/>
      <c r="AA34" s="193"/>
      <c r="AB34" s="193"/>
      <c r="AC34" s="193"/>
      <c r="AD34" s="193"/>
      <c r="AE34" s="193"/>
      <c r="AF34" s="181"/>
      <c r="AG34" s="181"/>
      <c r="AH34" s="128">
        <f t="shared" si="1"/>
        <v>0</v>
      </c>
      <c r="AI34" s="129">
        <f t="shared" si="2"/>
        <v>0</v>
      </c>
      <c r="AJ34" s="126">
        <f t="shared" si="3"/>
        <v>0</v>
      </c>
      <c r="AK34" s="128">
        <f t="shared" si="4"/>
        <v>0</v>
      </c>
      <c r="AL34" s="128">
        <f t="shared" si="5"/>
        <v>0</v>
      </c>
      <c r="AM34" s="127">
        <f t="shared" si="6"/>
        <v>0</v>
      </c>
      <c r="AN34" s="126">
        <f t="shared" si="7"/>
        <v>0</v>
      </c>
      <c r="AO34" s="125">
        <f t="shared" si="8"/>
        <v>0</v>
      </c>
      <c r="AP34" s="124"/>
      <c r="AY34" s="107">
        <f t="shared" si="9"/>
        <v>0</v>
      </c>
      <c r="AZ34" s="107">
        <f t="shared" si="10"/>
        <v>0</v>
      </c>
      <c r="BB34" s="52">
        <f t="shared" si="11"/>
        <v>7.0000000000000001E-3</v>
      </c>
      <c r="BC34" s="123">
        <f t="shared" si="12"/>
        <v>0</v>
      </c>
      <c r="BD34" s="122">
        <f t="shared" si="13"/>
        <v>0</v>
      </c>
      <c r="BE34" s="55">
        <v>0.1</v>
      </c>
      <c r="BF34" s="56" t="e">
        <f t="shared" si="14"/>
        <v>#DIV/0!</v>
      </c>
      <c r="BG34" s="56" t="e">
        <f t="shared" si="15"/>
        <v>#DIV/0!</v>
      </c>
      <c r="BH34" s="56" t="e">
        <f t="shared" si="16"/>
        <v>#DIV/0!</v>
      </c>
      <c r="BI34" s="56" t="e">
        <f t="shared" si="17"/>
        <v>#DIV/0!</v>
      </c>
      <c r="BJ34" s="56" t="e">
        <f t="shared" si="18"/>
        <v>#DIV/0!</v>
      </c>
      <c r="BK34" s="56" t="e">
        <f t="shared" si="19"/>
        <v>#DIV/0!</v>
      </c>
      <c r="BL34" s="56" t="e">
        <f t="shared" si="20"/>
        <v>#DIV/0!</v>
      </c>
      <c r="BM34" s="56" t="e">
        <f t="shared" si="21"/>
        <v>#DIV/0!</v>
      </c>
      <c r="BN34" s="56" t="e">
        <f t="shared" si="22"/>
        <v>#DIV/0!</v>
      </c>
      <c r="BO34" s="57" t="e">
        <f t="shared" si="23"/>
        <v>#DIV/0!</v>
      </c>
    </row>
    <row r="35" spans="18:67" ht="15" customHeight="1">
      <c r="R35" s="243" t="s">
        <v>61</v>
      </c>
      <c r="S35" s="193" t="s">
        <v>60</v>
      </c>
      <c r="T35" s="193">
        <v>32</v>
      </c>
      <c r="U35" s="193" t="s">
        <v>74</v>
      </c>
      <c r="V35" s="193">
        <v>8</v>
      </c>
      <c r="W35" s="107">
        <f t="shared" si="0"/>
        <v>16.8</v>
      </c>
      <c r="X35" s="195">
        <v>10</v>
      </c>
      <c r="Y35" s="193">
        <v>1</v>
      </c>
      <c r="Z35" s="193"/>
      <c r="AA35" s="193"/>
      <c r="AB35" s="193">
        <v>1</v>
      </c>
      <c r="AC35" s="193"/>
      <c r="AD35" s="193"/>
      <c r="AE35" s="193"/>
      <c r="AF35" s="107"/>
      <c r="AG35" s="107"/>
      <c r="AH35" s="128">
        <f t="shared" si="1"/>
        <v>149.2849396320635</v>
      </c>
      <c r="AI35" s="128">
        <f t="shared" si="2"/>
        <v>13472.597663169019</v>
      </c>
      <c r="AJ35" s="126">
        <f t="shared" si="3"/>
        <v>0.519356495142832</v>
      </c>
      <c r="AK35" s="128">
        <f t="shared" si="4"/>
        <v>215.43129118711354</v>
      </c>
      <c r="AL35" s="128">
        <f t="shared" si="5"/>
        <v>1492.8493963206349</v>
      </c>
      <c r="AM35" s="128">
        <f t="shared" si="6"/>
        <v>1708.2806875077486</v>
      </c>
      <c r="AN35" s="126">
        <f t="shared" si="7"/>
        <v>1.7082806875077485E-2</v>
      </c>
      <c r="AO35" s="125">
        <f t="shared" si="8"/>
        <v>1.7082806875077485E-2</v>
      </c>
      <c r="AP35" s="124"/>
      <c r="AY35" s="107">
        <f t="shared" si="9"/>
        <v>32</v>
      </c>
      <c r="AZ35" s="107">
        <f t="shared" si="10"/>
        <v>2.9</v>
      </c>
      <c r="BB35" s="52">
        <f t="shared" si="11"/>
        <v>7.0000000000000001E-3</v>
      </c>
      <c r="BC35" s="123">
        <f t="shared" si="12"/>
        <v>26.200000000000003</v>
      </c>
      <c r="BD35" s="122">
        <f t="shared" si="13"/>
        <v>13472.597663169019</v>
      </c>
      <c r="BE35" s="55">
        <v>0.1</v>
      </c>
      <c r="BF35" s="56">
        <f t="shared" si="14"/>
        <v>2.4726893091101043E-2</v>
      </c>
      <c r="BG35" s="56">
        <f t="shared" si="15"/>
        <v>2.971143987431029E-2</v>
      </c>
      <c r="BH35" s="56">
        <f t="shared" si="16"/>
        <v>2.8958067196308401E-2</v>
      </c>
      <c r="BI35" s="56">
        <f t="shared" si="17"/>
        <v>2.9061448277949046E-2</v>
      </c>
      <c r="BJ35" s="56">
        <f t="shared" si="18"/>
        <v>2.904706574249262E-2</v>
      </c>
      <c r="BK35" s="56">
        <f t="shared" si="19"/>
        <v>2.904906286303538E-2</v>
      </c>
      <c r="BL35" s="56">
        <f t="shared" si="20"/>
        <v>2.9048785474941045E-2</v>
      </c>
      <c r="BM35" s="56">
        <f t="shared" si="21"/>
        <v>2.9048824001074405E-2</v>
      </c>
      <c r="BN35" s="56">
        <f t="shared" si="22"/>
        <v>2.9048818650194017E-2</v>
      </c>
      <c r="BO35" s="57">
        <f t="shared" si="23"/>
        <v>2.904881939337528E-2</v>
      </c>
    </row>
    <row r="36" spans="18:67" ht="15" customHeight="1">
      <c r="R36" s="243" t="s">
        <v>61</v>
      </c>
      <c r="S36" s="193" t="s">
        <v>59</v>
      </c>
      <c r="T36" s="193">
        <v>32</v>
      </c>
      <c r="U36" s="193" t="s">
        <v>70</v>
      </c>
      <c r="V36" s="193">
        <v>8</v>
      </c>
      <c r="W36" s="107">
        <f t="shared" si="0"/>
        <v>8.8000000000000007</v>
      </c>
      <c r="X36" s="195">
        <v>5</v>
      </c>
      <c r="Y36" s="193"/>
      <c r="Z36" s="193"/>
      <c r="AA36" s="193"/>
      <c r="AB36" s="193">
        <v>1</v>
      </c>
      <c r="AC36" s="193"/>
      <c r="AD36" s="193"/>
      <c r="AE36" s="193"/>
      <c r="AF36" s="181"/>
      <c r="AG36" s="181"/>
      <c r="AH36" s="128">
        <f t="shared" si="1"/>
        <v>48.337897360786449</v>
      </c>
      <c r="AI36" s="129">
        <f t="shared" si="2"/>
        <v>7057.0749664218656</v>
      </c>
      <c r="AJ36" s="126">
        <f t="shared" si="3"/>
        <v>0.27204387840815009</v>
      </c>
      <c r="AK36" s="128">
        <f t="shared" si="4"/>
        <v>11.082987344235008</v>
      </c>
      <c r="AL36" s="128">
        <f t="shared" si="5"/>
        <v>241.68948680393225</v>
      </c>
      <c r="AM36" s="127">
        <f t="shared" si="6"/>
        <v>252.77247414816725</v>
      </c>
      <c r="AN36" s="126">
        <f t="shared" si="7"/>
        <v>2.5277247414816724E-3</v>
      </c>
      <c r="AO36" s="125">
        <f t="shared" si="8"/>
        <v>1.9610531616559158E-2</v>
      </c>
      <c r="AP36" s="124"/>
      <c r="AY36" s="107">
        <f t="shared" si="9"/>
        <v>32</v>
      </c>
      <c r="AZ36" s="107">
        <f t="shared" si="10"/>
        <v>2.9</v>
      </c>
      <c r="BB36" s="52">
        <f t="shared" si="11"/>
        <v>7.0000000000000001E-3</v>
      </c>
      <c r="BC36" s="123">
        <f t="shared" si="12"/>
        <v>26.200000000000003</v>
      </c>
      <c r="BD36" s="122">
        <f t="shared" si="13"/>
        <v>7057.0749664218656</v>
      </c>
      <c r="BE36" s="55">
        <v>0.1</v>
      </c>
      <c r="BF36" s="56">
        <f t="shared" si="14"/>
        <v>2.9280619702122652E-2</v>
      </c>
      <c r="BG36" s="56">
        <f t="shared" si="15"/>
        <v>3.5135631301453314E-2</v>
      </c>
      <c r="BH36" s="56">
        <f t="shared" si="16"/>
        <v>3.4150549336106388E-2</v>
      </c>
      <c r="BI36" s="56">
        <f t="shared" si="17"/>
        <v>3.4301267332560316E-2</v>
      </c>
      <c r="BJ36" s="56">
        <f t="shared" si="18"/>
        <v>3.4277857555934356E-2</v>
      </c>
      <c r="BK36" s="56">
        <f t="shared" si="19"/>
        <v>3.4281485155004211E-2</v>
      </c>
      <c r="BL36" s="56">
        <f t="shared" si="20"/>
        <v>3.4280922816319934E-2</v>
      </c>
      <c r="BM36" s="56">
        <f t="shared" si="21"/>
        <v>3.4281009983371524E-2</v>
      </c>
      <c r="BN36" s="56">
        <f t="shared" si="22"/>
        <v>3.4280996471655265E-2</v>
      </c>
      <c r="BO36" s="57">
        <f t="shared" si="23"/>
        <v>3.4280998566096087E-2</v>
      </c>
    </row>
    <row r="37" spans="18:67" ht="15" customHeight="1">
      <c r="R37" s="243" t="s">
        <v>61</v>
      </c>
      <c r="S37" s="193" t="s">
        <v>58</v>
      </c>
      <c r="T37" s="193">
        <v>32</v>
      </c>
      <c r="U37" s="193" t="s">
        <v>69</v>
      </c>
      <c r="V37" s="193">
        <v>0.8</v>
      </c>
      <c r="W37" s="107">
        <f t="shared" si="0"/>
        <v>0.8</v>
      </c>
      <c r="X37" s="195">
        <v>10</v>
      </c>
      <c r="Y37" s="193">
        <v>1</v>
      </c>
      <c r="Z37" s="193"/>
      <c r="AA37" s="193">
        <v>1</v>
      </c>
      <c r="AB37" s="193"/>
      <c r="AC37" s="193"/>
      <c r="AD37" s="193"/>
      <c r="AE37" s="193"/>
      <c r="AF37" s="181"/>
      <c r="AG37" s="181"/>
      <c r="AH37" s="128">
        <f t="shared" si="1"/>
        <v>0.8608506751870324</v>
      </c>
      <c r="AI37" s="129">
        <f t="shared" si="2"/>
        <v>641.55226967471515</v>
      </c>
      <c r="AJ37" s="126">
        <f t="shared" si="3"/>
        <v>2.4731261673468188E-2</v>
      </c>
      <c r="AK37" s="128">
        <f t="shared" si="4"/>
        <v>0.79382278498652947</v>
      </c>
      <c r="AL37" s="128">
        <f t="shared" si="5"/>
        <v>8.6085067518703244</v>
      </c>
      <c r="AM37" s="127">
        <f t="shared" si="6"/>
        <v>9.402329536856854</v>
      </c>
      <c r="AN37" s="126">
        <f t="shared" si="7"/>
        <v>9.4023295368568543E-5</v>
      </c>
      <c r="AO37" s="125">
        <f t="shared" si="8"/>
        <v>1.9704554911927727E-2</v>
      </c>
      <c r="AP37" s="124"/>
      <c r="AY37" s="107">
        <f t="shared" si="9"/>
        <v>32</v>
      </c>
      <c r="AZ37" s="107">
        <f t="shared" si="10"/>
        <v>2.9</v>
      </c>
      <c r="BB37" s="52">
        <f t="shared" si="11"/>
        <v>7.0000000000000001E-3</v>
      </c>
      <c r="BC37" s="123">
        <f t="shared" si="12"/>
        <v>26.200000000000003</v>
      </c>
      <c r="BD37" s="122">
        <f t="shared" si="13"/>
        <v>641.55226967471515</v>
      </c>
      <c r="BE37" s="55">
        <v>0.1</v>
      </c>
      <c r="BF37" s="56">
        <f t="shared" si="14"/>
        <v>6.8886298626005663E-2</v>
      </c>
      <c r="BG37" s="56">
        <f t="shared" si="15"/>
        <v>7.5099525770760817E-2</v>
      </c>
      <c r="BH37" s="56">
        <f t="shared" si="16"/>
        <v>7.3586642136234531E-2</v>
      </c>
      <c r="BI37" s="56">
        <f t="shared" si="17"/>
        <v>7.3938992558603547E-2</v>
      </c>
      <c r="BJ37" s="56">
        <f t="shared" si="18"/>
        <v>7.3856058774338249E-2</v>
      </c>
      <c r="BK37" s="56">
        <f t="shared" si="19"/>
        <v>7.3875530897686795E-2</v>
      </c>
      <c r="BL37" s="56">
        <f t="shared" si="20"/>
        <v>7.3870956354016026E-2</v>
      </c>
      <c r="BM37" s="56">
        <f t="shared" si="21"/>
        <v>7.3872030894809135E-2</v>
      </c>
      <c r="BN37" s="56">
        <f t="shared" si="22"/>
        <v>7.3871778481659767E-2</v>
      </c>
      <c r="BO37" s="57">
        <f t="shared" si="23"/>
        <v>7.38718377738877E-2</v>
      </c>
    </row>
    <row r="38" spans="18:67" ht="15" customHeight="1">
      <c r="R38" s="243"/>
      <c r="S38" s="193"/>
      <c r="T38" s="194"/>
      <c r="U38" s="194"/>
      <c r="V38" s="193"/>
      <c r="W38" s="107">
        <f t="shared" si="0"/>
        <v>0</v>
      </c>
      <c r="X38" s="195"/>
      <c r="Y38" s="193"/>
      <c r="Z38" s="193"/>
      <c r="AA38" s="193"/>
      <c r="AB38" s="193"/>
      <c r="AC38" s="193"/>
      <c r="AD38" s="193"/>
      <c r="AE38" s="193"/>
      <c r="AF38" s="181"/>
      <c r="AG38" s="181"/>
      <c r="AH38" s="128">
        <f t="shared" si="1"/>
        <v>0</v>
      </c>
      <c r="AI38" s="129">
        <f t="shared" si="2"/>
        <v>0</v>
      </c>
      <c r="AJ38" s="126">
        <f t="shared" si="3"/>
        <v>0</v>
      </c>
      <c r="AK38" s="128">
        <f t="shared" si="4"/>
        <v>0</v>
      </c>
      <c r="AL38" s="128">
        <f t="shared" si="5"/>
        <v>0</v>
      </c>
      <c r="AM38" s="127">
        <f t="shared" si="6"/>
        <v>0</v>
      </c>
      <c r="AN38" s="126">
        <f t="shared" si="7"/>
        <v>0</v>
      </c>
      <c r="AO38" s="125">
        <f t="shared" si="8"/>
        <v>0</v>
      </c>
      <c r="AP38" s="124"/>
      <c r="AY38" s="107">
        <f t="shared" si="9"/>
        <v>0</v>
      </c>
      <c r="AZ38" s="107">
        <f t="shared" si="10"/>
        <v>0</v>
      </c>
      <c r="BB38" s="52">
        <f t="shared" si="11"/>
        <v>7.0000000000000001E-3</v>
      </c>
      <c r="BC38" s="123">
        <f t="shared" si="12"/>
        <v>0</v>
      </c>
      <c r="BD38" s="122">
        <f t="shared" si="13"/>
        <v>0</v>
      </c>
      <c r="BE38" s="55">
        <v>0.1</v>
      </c>
      <c r="BF38" s="56" t="e">
        <f t="shared" si="14"/>
        <v>#DIV/0!</v>
      </c>
      <c r="BG38" s="56" t="e">
        <f t="shared" si="15"/>
        <v>#DIV/0!</v>
      </c>
      <c r="BH38" s="56" t="e">
        <f t="shared" si="16"/>
        <v>#DIV/0!</v>
      </c>
      <c r="BI38" s="56" t="e">
        <f t="shared" si="17"/>
        <v>#DIV/0!</v>
      </c>
      <c r="BJ38" s="56" t="e">
        <f t="shared" si="18"/>
        <v>#DIV/0!</v>
      </c>
      <c r="BK38" s="56" t="e">
        <f t="shared" si="19"/>
        <v>#DIV/0!</v>
      </c>
      <c r="BL38" s="56" t="e">
        <f t="shared" si="20"/>
        <v>#DIV/0!</v>
      </c>
      <c r="BM38" s="56" t="e">
        <f t="shared" si="21"/>
        <v>#DIV/0!</v>
      </c>
      <c r="BN38" s="56" t="e">
        <f t="shared" si="22"/>
        <v>#DIV/0!</v>
      </c>
      <c r="BO38" s="57" t="e">
        <f t="shared" si="23"/>
        <v>#DIV/0!</v>
      </c>
    </row>
    <row r="39" spans="18:67" ht="15" customHeight="1">
      <c r="R39" s="243"/>
      <c r="S39" s="193"/>
      <c r="T39" s="193"/>
      <c r="U39" s="193"/>
      <c r="V39" s="193"/>
      <c r="W39" s="107">
        <f t="shared" si="0"/>
        <v>0</v>
      </c>
      <c r="X39" s="195"/>
      <c r="Y39" s="193"/>
      <c r="Z39" s="193"/>
      <c r="AA39" s="193"/>
      <c r="AB39" s="193"/>
      <c r="AC39" s="193"/>
      <c r="AD39" s="193"/>
      <c r="AE39" s="193"/>
      <c r="AF39" s="181"/>
      <c r="AG39" s="181"/>
      <c r="AH39" s="128">
        <f t="shared" si="1"/>
        <v>0</v>
      </c>
      <c r="AI39" s="129">
        <f t="shared" si="2"/>
        <v>0</v>
      </c>
      <c r="AJ39" s="126">
        <f t="shared" si="3"/>
        <v>0</v>
      </c>
      <c r="AK39" s="128">
        <f t="shared" si="4"/>
        <v>0</v>
      </c>
      <c r="AL39" s="128">
        <f t="shared" si="5"/>
        <v>0</v>
      </c>
      <c r="AM39" s="127">
        <f t="shared" si="6"/>
        <v>0</v>
      </c>
      <c r="AN39" s="126">
        <f t="shared" si="7"/>
        <v>0</v>
      </c>
      <c r="AO39" s="125">
        <f t="shared" si="8"/>
        <v>0</v>
      </c>
      <c r="AP39" s="124"/>
      <c r="AY39" s="107">
        <f t="shared" si="9"/>
        <v>0</v>
      </c>
      <c r="AZ39" s="107">
        <f t="shared" si="10"/>
        <v>0</v>
      </c>
      <c r="BB39" s="52">
        <f t="shared" si="11"/>
        <v>7.0000000000000001E-3</v>
      </c>
      <c r="BC39" s="123">
        <f t="shared" si="12"/>
        <v>0</v>
      </c>
      <c r="BD39" s="122">
        <f t="shared" si="13"/>
        <v>0</v>
      </c>
      <c r="BE39" s="55">
        <v>0.1</v>
      </c>
      <c r="BF39" s="56" t="e">
        <f t="shared" si="14"/>
        <v>#DIV/0!</v>
      </c>
      <c r="BG39" s="56" t="e">
        <f t="shared" si="15"/>
        <v>#DIV/0!</v>
      </c>
      <c r="BH39" s="56" t="e">
        <f t="shared" si="16"/>
        <v>#DIV/0!</v>
      </c>
      <c r="BI39" s="56" t="e">
        <f t="shared" si="17"/>
        <v>#DIV/0!</v>
      </c>
      <c r="BJ39" s="56" t="e">
        <f t="shared" si="18"/>
        <v>#DIV/0!</v>
      </c>
      <c r="BK39" s="56" t="e">
        <f t="shared" si="19"/>
        <v>#DIV/0!</v>
      </c>
      <c r="BL39" s="56" t="e">
        <f t="shared" si="20"/>
        <v>#DIV/0!</v>
      </c>
      <c r="BM39" s="56" t="e">
        <f t="shared" si="21"/>
        <v>#DIV/0!</v>
      </c>
      <c r="BN39" s="56" t="e">
        <f t="shared" si="22"/>
        <v>#DIV/0!</v>
      </c>
      <c r="BO39" s="57" t="e">
        <f t="shared" si="23"/>
        <v>#DIV/0!</v>
      </c>
    </row>
    <row r="40" spans="18:67" ht="15" customHeight="1">
      <c r="R40" s="243"/>
      <c r="S40" s="193"/>
      <c r="T40" s="193"/>
      <c r="U40" s="193"/>
      <c r="V40" s="193"/>
      <c r="W40" s="107">
        <f t="shared" si="0"/>
        <v>0</v>
      </c>
      <c r="X40" s="195"/>
      <c r="Y40" s="193"/>
      <c r="Z40" s="193"/>
      <c r="AA40" s="193"/>
      <c r="AB40" s="193"/>
      <c r="AC40" s="193"/>
      <c r="AD40" s="193"/>
      <c r="AE40" s="193"/>
      <c r="AF40" s="181"/>
      <c r="AG40" s="181"/>
      <c r="AH40" s="128">
        <f t="shared" si="1"/>
        <v>0</v>
      </c>
      <c r="AI40" s="129">
        <f t="shared" si="2"/>
        <v>0</v>
      </c>
      <c r="AJ40" s="126">
        <f t="shared" si="3"/>
        <v>0</v>
      </c>
      <c r="AK40" s="128">
        <f t="shared" si="4"/>
        <v>0</v>
      </c>
      <c r="AL40" s="128">
        <f t="shared" si="5"/>
        <v>0</v>
      </c>
      <c r="AM40" s="127">
        <f t="shared" si="6"/>
        <v>0</v>
      </c>
      <c r="AN40" s="126">
        <f t="shared" si="7"/>
        <v>0</v>
      </c>
      <c r="AO40" s="125">
        <f t="shared" si="8"/>
        <v>0</v>
      </c>
      <c r="AP40" s="124"/>
      <c r="AY40" s="107">
        <f t="shared" si="9"/>
        <v>0</v>
      </c>
      <c r="AZ40" s="107">
        <f t="shared" si="10"/>
        <v>0</v>
      </c>
      <c r="BB40" s="52">
        <f t="shared" si="11"/>
        <v>7.0000000000000001E-3</v>
      </c>
      <c r="BC40" s="123">
        <f t="shared" si="12"/>
        <v>0</v>
      </c>
      <c r="BD40" s="122">
        <f t="shared" si="13"/>
        <v>0</v>
      </c>
      <c r="BE40" s="55">
        <v>0.1</v>
      </c>
      <c r="BF40" s="56" t="e">
        <f t="shared" si="14"/>
        <v>#DIV/0!</v>
      </c>
      <c r="BG40" s="56" t="e">
        <f t="shared" si="15"/>
        <v>#DIV/0!</v>
      </c>
      <c r="BH40" s="56" t="e">
        <f t="shared" si="16"/>
        <v>#DIV/0!</v>
      </c>
      <c r="BI40" s="56" t="e">
        <f t="shared" si="17"/>
        <v>#DIV/0!</v>
      </c>
      <c r="BJ40" s="56" t="e">
        <f t="shared" si="18"/>
        <v>#DIV/0!</v>
      </c>
      <c r="BK40" s="56" t="e">
        <f t="shared" si="19"/>
        <v>#DIV/0!</v>
      </c>
      <c r="BL40" s="56" t="e">
        <f t="shared" si="20"/>
        <v>#DIV/0!</v>
      </c>
      <c r="BM40" s="56" t="e">
        <f t="shared" si="21"/>
        <v>#DIV/0!</v>
      </c>
      <c r="BN40" s="56" t="e">
        <f t="shared" si="22"/>
        <v>#DIV/0!</v>
      </c>
      <c r="BO40" s="57" t="e">
        <f t="shared" si="23"/>
        <v>#DIV/0!</v>
      </c>
    </row>
    <row r="41" spans="18:67" ht="15" customHeight="1">
      <c r="R41" s="243"/>
      <c r="S41" s="193"/>
      <c r="T41" s="193"/>
      <c r="U41" s="193"/>
      <c r="V41" s="193"/>
      <c r="W41" s="107">
        <f t="shared" si="0"/>
        <v>0</v>
      </c>
      <c r="X41" s="195"/>
      <c r="Y41" s="193"/>
      <c r="Z41" s="193"/>
      <c r="AA41" s="193"/>
      <c r="AB41" s="193"/>
      <c r="AC41" s="193"/>
      <c r="AD41" s="193"/>
      <c r="AE41" s="193"/>
      <c r="AF41" s="181"/>
      <c r="AG41" s="181"/>
      <c r="AH41" s="128">
        <f t="shared" si="1"/>
        <v>0</v>
      </c>
      <c r="AI41" s="129">
        <f t="shared" si="2"/>
        <v>0</v>
      </c>
      <c r="AJ41" s="126">
        <f t="shared" si="3"/>
        <v>0</v>
      </c>
      <c r="AK41" s="128">
        <f t="shared" si="4"/>
        <v>0</v>
      </c>
      <c r="AL41" s="128">
        <f t="shared" si="5"/>
        <v>0</v>
      </c>
      <c r="AM41" s="127">
        <f t="shared" si="6"/>
        <v>0</v>
      </c>
      <c r="AN41" s="126">
        <f t="shared" si="7"/>
        <v>0</v>
      </c>
      <c r="AO41" s="125">
        <f t="shared" si="8"/>
        <v>0</v>
      </c>
      <c r="AP41" s="124"/>
      <c r="AY41" s="107">
        <f t="shared" si="9"/>
        <v>0</v>
      </c>
      <c r="AZ41" s="107">
        <f t="shared" si="10"/>
        <v>0</v>
      </c>
      <c r="BB41" s="52">
        <f t="shared" si="11"/>
        <v>7.0000000000000001E-3</v>
      </c>
      <c r="BC41" s="123">
        <f t="shared" si="12"/>
        <v>0</v>
      </c>
      <c r="BD41" s="122">
        <f t="shared" si="13"/>
        <v>0</v>
      </c>
      <c r="BE41" s="55">
        <v>0.1</v>
      </c>
      <c r="BF41" s="56" t="e">
        <f t="shared" si="14"/>
        <v>#DIV/0!</v>
      </c>
      <c r="BG41" s="56" t="e">
        <f t="shared" si="15"/>
        <v>#DIV/0!</v>
      </c>
      <c r="BH41" s="56" t="e">
        <f t="shared" si="16"/>
        <v>#DIV/0!</v>
      </c>
      <c r="BI41" s="56" t="e">
        <f t="shared" si="17"/>
        <v>#DIV/0!</v>
      </c>
      <c r="BJ41" s="56" t="e">
        <f t="shared" si="18"/>
        <v>#DIV/0!</v>
      </c>
      <c r="BK41" s="56" t="e">
        <f t="shared" si="19"/>
        <v>#DIV/0!</v>
      </c>
      <c r="BL41" s="56" t="e">
        <f t="shared" si="20"/>
        <v>#DIV/0!</v>
      </c>
      <c r="BM41" s="56" t="e">
        <f t="shared" si="21"/>
        <v>#DIV/0!</v>
      </c>
      <c r="BN41" s="56" t="e">
        <f t="shared" si="22"/>
        <v>#DIV/0!</v>
      </c>
      <c r="BO41" s="57" t="e">
        <f t="shared" si="23"/>
        <v>#DIV/0!</v>
      </c>
    </row>
    <row r="42" spans="18:67" ht="15" customHeight="1">
      <c r="R42" s="243"/>
      <c r="S42" s="193"/>
      <c r="T42" s="193"/>
      <c r="U42" s="193"/>
      <c r="V42" s="193"/>
      <c r="W42" s="107">
        <f t="shared" si="0"/>
        <v>0</v>
      </c>
      <c r="X42" s="195"/>
      <c r="Y42" s="193"/>
      <c r="Z42" s="193"/>
      <c r="AA42" s="193"/>
      <c r="AB42" s="193"/>
      <c r="AC42" s="193"/>
      <c r="AD42" s="193"/>
      <c r="AE42" s="193"/>
      <c r="AF42" s="181"/>
      <c r="AG42" s="181"/>
      <c r="AH42" s="128">
        <f t="shared" si="1"/>
        <v>0</v>
      </c>
      <c r="AI42" s="129">
        <f t="shared" si="2"/>
        <v>0</v>
      </c>
      <c r="AJ42" s="126">
        <f t="shared" si="3"/>
        <v>0</v>
      </c>
      <c r="AK42" s="128">
        <f t="shared" si="4"/>
        <v>0</v>
      </c>
      <c r="AL42" s="128">
        <f t="shared" si="5"/>
        <v>0</v>
      </c>
      <c r="AM42" s="127">
        <f t="shared" si="6"/>
        <v>0</v>
      </c>
      <c r="AN42" s="126">
        <f t="shared" si="7"/>
        <v>0</v>
      </c>
      <c r="AO42" s="125">
        <f t="shared" si="8"/>
        <v>0</v>
      </c>
      <c r="AP42" s="124"/>
      <c r="AY42" s="107">
        <f t="shared" si="9"/>
        <v>0</v>
      </c>
      <c r="AZ42" s="107">
        <f t="shared" si="10"/>
        <v>0</v>
      </c>
      <c r="BB42" s="52">
        <f t="shared" si="11"/>
        <v>7.0000000000000001E-3</v>
      </c>
      <c r="BC42" s="123">
        <f t="shared" si="12"/>
        <v>0</v>
      </c>
      <c r="BD42" s="122">
        <f t="shared" si="13"/>
        <v>0</v>
      </c>
      <c r="BE42" s="55">
        <v>0.1</v>
      </c>
      <c r="BF42" s="56" t="e">
        <f t="shared" si="14"/>
        <v>#DIV/0!</v>
      </c>
      <c r="BG42" s="56" t="e">
        <f t="shared" si="15"/>
        <v>#DIV/0!</v>
      </c>
      <c r="BH42" s="56" t="e">
        <f t="shared" si="16"/>
        <v>#DIV/0!</v>
      </c>
      <c r="BI42" s="56" t="e">
        <f t="shared" si="17"/>
        <v>#DIV/0!</v>
      </c>
      <c r="BJ42" s="56" t="e">
        <f t="shared" si="18"/>
        <v>#DIV/0!</v>
      </c>
      <c r="BK42" s="56" t="e">
        <f t="shared" si="19"/>
        <v>#DIV/0!</v>
      </c>
      <c r="BL42" s="56" t="e">
        <f t="shared" si="20"/>
        <v>#DIV/0!</v>
      </c>
      <c r="BM42" s="56" t="e">
        <f t="shared" si="21"/>
        <v>#DIV/0!</v>
      </c>
      <c r="BN42" s="56" t="e">
        <f t="shared" si="22"/>
        <v>#DIV/0!</v>
      </c>
      <c r="BO42" s="57" t="e">
        <f t="shared" si="23"/>
        <v>#DIV/0!</v>
      </c>
    </row>
    <row r="43" spans="18:67" ht="15" customHeight="1">
      <c r="R43" s="243"/>
      <c r="S43" s="193"/>
      <c r="T43" s="193"/>
      <c r="U43" s="193"/>
      <c r="V43" s="193"/>
      <c r="W43" s="107">
        <f t="shared" si="0"/>
        <v>0</v>
      </c>
      <c r="X43" s="195"/>
      <c r="Y43" s="193"/>
      <c r="Z43" s="193"/>
      <c r="AA43" s="193"/>
      <c r="AB43" s="193"/>
      <c r="AC43" s="193"/>
      <c r="AD43" s="193"/>
      <c r="AE43" s="193"/>
      <c r="AF43" s="181"/>
      <c r="AG43" s="181"/>
      <c r="AH43" s="128">
        <f t="shared" si="1"/>
        <v>0</v>
      </c>
      <c r="AI43" s="129">
        <f t="shared" si="2"/>
        <v>0</v>
      </c>
      <c r="AJ43" s="126">
        <f t="shared" si="3"/>
        <v>0</v>
      </c>
      <c r="AK43" s="128">
        <f t="shared" si="4"/>
        <v>0</v>
      </c>
      <c r="AL43" s="128">
        <f t="shared" si="5"/>
        <v>0</v>
      </c>
      <c r="AM43" s="127">
        <f t="shared" si="6"/>
        <v>0</v>
      </c>
      <c r="AN43" s="126">
        <f t="shared" si="7"/>
        <v>0</v>
      </c>
      <c r="AO43" s="125">
        <f t="shared" si="8"/>
        <v>0</v>
      </c>
      <c r="AP43" s="124"/>
      <c r="AY43" s="107">
        <f t="shared" si="9"/>
        <v>0</v>
      </c>
      <c r="AZ43" s="107">
        <f t="shared" si="10"/>
        <v>0</v>
      </c>
      <c r="BB43" s="52">
        <f t="shared" si="11"/>
        <v>7.0000000000000001E-3</v>
      </c>
      <c r="BC43" s="123">
        <f t="shared" si="12"/>
        <v>0</v>
      </c>
      <c r="BD43" s="122">
        <f t="shared" si="13"/>
        <v>0</v>
      </c>
      <c r="BE43" s="55">
        <v>0.1</v>
      </c>
      <c r="BF43" s="56" t="e">
        <f t="shared" si="14"/>
        <v>#DIV/0!</v>
      </c>
      <c r="BG43" s="56" t="e">
        <f t="shared" si="15"/>
        <v>#DIV/0!</v>
      </c>
      <c r="BH43" s="56" t="e">
        <f t="shared" si="16"/>
        <v>#DIV/0!</v>
      </c>
      <c r="BI43" s="56" t="e">
        <f t="shared" si="17"/>
        <v>#DIV/0!</v>
      </c>
      <c r="BJ43" s="56" t="e">
        <f t="shared" si="18"/>
        <v>#DIV/0!</v>
      </c>
      <c r="BK43" s="56" t="e">
        <f t="shared" si="19"/>
        <v>#DIV/0!</v>
      </c>
      <c r="BL43" s="56" t="e">
        <f t="shared" si="20"/>
        <v>#DIV/0!</v>
      </c>
      <c r="BM43" s="56" t="e">
        <f t="shared" si="21"/>
        <v>#DIV/0!</v>
      </c>
      <c r="BN43" s="56" t="e">
        <f t="shared" si="22"/>
        <v>#DIV/0!</v>
      </c>
      <c r="BO43" s="57" t="e">
        <f t="shared" si="23"/>
        <v>#DIV/0!</v>
      </c>
    </row>
    <row r="44" spans="18:67" ht="15" customHeight="1">
      <c r="R44" s="243"/>
      <c r="S44" s="193"/>
      <c r="T44" s="193"/>
      <c r="U44" s="193"/>
      <c r="V44" s="193"/>
      <c r="W44" s="107">
        <f t="shared" si="0"/>
        <v>0</v>
      </c>
      <c r="X44" s="195"/>
      <c r="Y44" s="193"/>
      <c r="Z44" s="193"/>
      <c r="AA44" s="193"/>
      <c r="AB44" s="193"/>
      <c r="AC44" s="193"/>
      <c r="AD44" s="193"/>
      <c r="AE44" s="193"/>
      <c r="AF44" s="181"/>
      <c r="AG44" s="181"/>
      <c r="AH44" s="128">
        <f t="shared" si="1"/>
        <v>0</v>
      </c>
      <c r="AI44" s="129">
        <f t="shared" si="2"/>
        <v>0</v>
      </c>
      <c r="AJ44" s="126">
        <f t="shared" si="3"/>
        <v>0</v>
      </c>
      <c r="AK44" s="128">
        <f t="shared" si="4"/>
        <v>0</v>
      </c>
      <c r="AL44" s="128">
        <f t="shared" si="5"/>
        <v>0</v>
      </c>
      <c r="AM44" s="127">
        <f t="shared" si="6"/>
        <v>0</v>
      </c>
      <c r="AN44" s="126">
        <f t="shared" si="7"/>
        <v>0</v>
      </c>
      <c r="AO44" s="125">
        <f t="shared" si="8"/>
        <v>0</v>
      </c>
      <c r="AP44" s="124"/>
      <c r="AY44" s="107">
        <f t="shared" si="9"/>
        <v>0</v>
      </c>
      <c r="AZ44" s="107">
        <f t="shared" si="10"/>
        <v>0</v>
      </c>
      <c r="BB44" s="52">
        <f t="shared" si="11"/>
        <v>7.0000000000000001E-3</v>
      </c>
      <c r="BC44" s="123">
        <f t="shared" si="12"/>
        <v>0</v>
      </c>
      <c r="BD44" s="122">
        <f t="shared" si="13"/>
        <v>0</v>
      </c>
      <c r="BE44" s="55">
        <v>0.1</v>
      </c>
      <c r="BF44" s="56" t="e">
        <f t="shared" si="14"/>
        <v>#DIV/0!</v>
      </c>
      <c r="BG44" s="56" t="e">
        <f t="shared" si="15"/>
        <v>#DIV/0!</v>
      </c>
      <c r="BH44" s="56" t="e">
        <f t="shared" si="16"/>
        <v>#DIV/0!</v>
      </c>
      <c r="BI44" s="56" t="e">
        <f t="shared" si="17"/>
        <v>#DIV/0!</v>
      </c>
      <c r="BJ44" s="56" t="e">
        <f t="shared" si="18"/>
        <v>#DIV/0!</v>
      </c>
      <c r="BK44" s="56" t="e">
        <f t="shared" si="19"/>
        <v>#DIV/0!</v>
      </c>
      <c r="BL44" s="56" t="e">
        <f t="shared" si="20"/>
        <v>#DIV/0!</v>
      </c>
      <c r="BM44" s="56" t="e">
        <f t="shared" si="21"/>
        <v>#DIV/0!</v>
      </c>
      <c r="BN44" s="56" t="e">
        <f t="shared" si="22"/>
        <v>#DIV/0!</v>
      </c>
      <c r="BO44" s="57" t="e">
        <f t="shared" si="23"/>
        <v>#DIV/0!</v>
      </c>
    </row>
    <row r="45" spans="18:67" ht="15" customHeight="1">
      <c r="R45" s="243"/>
      <c r="S45" s="193"/>
      <c r="T45" s="193"/>
      <c r="U45" s="193"/>
      <c r="V45" s="193"/>
      <c r="W45" s="107">
        <f>IF(OR(T46=0,V45=0),V45,V45+W46)</f>
        <v>0</v>
      </c>
      <c r="X45" s="195"/>
      <c r="Y45" s="193"/>
      <c r="Z45" s="193"/>
      <c r="AA45" s="193"/>
      <c r="AB45" s="193"/>
      <c r="AC45" s="193"/>
      <c r="AD45" s="193"/>
      <c r="AE45" s="193"/>
      <c r="AF45" s="181"/>
      <c r="AG45" s="181"/>
      <c r="AH45" s="128">
        <f t="shared" si="1"/>
        <v>0</v>
      </c>
      <c r="AI45" s="129">
        <f t="shared" si="2"/>
        <v>0</v>
      </c>
      <c r="AJ45" s="126">
        <f t="shared" si="3"/>
        <v>0</v>
      </c>
      <c r="AK45" s="128">
        <f t="shared" si="4"/>
        <v>0</v>
      </c>
      <c r="AL45" s="128">
        <f t="shared" si="5"/>
        <v>0</v>
      </c>
      <c r="AM45" s="127">
        <f t="shared" si="6"/>
        <v>0</v>
      </c>
      <c r="AN45" s="126">
        <f t="shared" si="7"/>
        <v>0</v>
      </c>
      <c r="AO45" s="125">
        <f t="shared" si="8"/>
        <v>0</v>
      </c>
      <c r="AP45" s="124"/>
      <c r="AY45" s="107">
        <f t="shared" si="9"/>
        <v>0</v>
      </c>
      <c r="AZ45" s="107">
        <f t="shared" si="10"/>
        <v>0</v>
      </c>
      <c r="BB45" s="52">
        <f t="shared" si="11"/>
        <v>7.0000000000000001E-3</v>
      </c>
      <c r="BC45" s="123">
        <f t="shared" si="12"/>
        <v>0</v>
      </c>
      <c r="BD45" s="122">
        <f t="shared" si="13"/>
        <v>0</v>
      </c>
      <c r="BE45" s="55">
        <v>0.1</v>
      </c>
      <c r="BF45" s="56" t="e">
        <f t="shared" si="14"/>
        <v>#DIV/0!</v>
      </c>
      <c r="BG45" s="56" t="e">
        <f t="shared" si="15"/>
        <v>#DIV/0!</v>
      </c>
      <c r="BH45" s="56" t="e">
        <f t="shared" si="16"/>
        <v>#DIV/0!</v>
      </c>
      <c r="BI45" s="56" t="e">
        <f t="shared" si="17"/>
        <v>#DIV/0!</v>
      </c>
      <c r="BJ45" s="56" t="e">
        <f t="shared" si="18"/>
        <v>#DIV/0!</v>
      </c>
      <c r="BK45" s="56" t="e">
        <f t="shared" si="19"/>
        <v>#DIV/0!</v>
      </c>
      <c r="BL45" s="56" t="e">
        <f t="shared" si="20"/>
        <v>#DIV/0!</v>
      </c>
      <c r="BM45" s="56" t="e">
        <f t="shared" si="21"/>
        <v>#DIV/0!</v>
      </c>
      <c r="BN45" s="56" t="e">
        <f t="shared" si="22"/>
        <v>#DIV/0!</v>
      </c>
      <c r="BO45" s="57" t="e">
        <f t="shared" si="23"/>
        <v>#DIV/0!</v>
      </c>
    </row>
    <row r="46" spans="18:67" ht="15" customHeight="1">
      <c r="AK46" s="118">
        <f>SUM(AK34:AK45)</f>
        <v>227.3081013163351</v>
      </c>
      <c r="AL46" s="118">
        <f>SUM(AL34:AL45)</f>
        <v>1743.1473898764377</v>
      </c>
      <c r="AM46" s="164">
        <f>SUM(AM33:AM45)</f>
        <v>1970.4554911927726</v>
      </c>
      <c r="AN46" s="124">
        <f>SUM(AN34:AN45)</f>
        <v>1.9704554911927727E-2</v>
      </c>
      <c r="AO46" s="90"/>
      <c r="AP46" s="121"/>
      <c r="BB46" s="60"/>
      <c r="BC46" s="120"/>
      <c r="BD46" s="119"/>
      <c r="BE46" s="63"/>
      <c r="BF46" s="64"/>
      <c r="BG46" s="64"/>
      <c r="BH46" s="64"/>
      <c r="BI46" s="64"/>
      <c r="BJ46" s="64"/>
      <c r="BK46" s="64"/>
      <c r="BL46" s="64"/>
      <c r="BM46" s="64"/>
      <c r="BN46" s="64"/>
      <c r="BO46" s="65"/>
    </row>
    <row r="47" spans="18:67" ht="15" customHeight="1"/>
    <row r="48" spans="18:67" ht="15" customHeight="1">
      <c r="AH48" s="186"/>
      <c r="AI48" s="186"/>
      <c r="AJ48" s="186"/>
      <c r="AK48" s="58"/>
      <c r="AL48" s="58"/>
      <c r="AM48" s="58"/>
      <c r="AO48" s="189"/>
      <c r="AY48" s="114"/>
      <c r="BB48" s="107" t="s">
        <v>52</v>
      </c>
      <c r="BC48" s="107"/>
      <c r="BE48" s="117">
        <v>40</v>
      </c>
      <c r="BK48" s="106"/>
      <c r="BL48" s="106"/>
      <c r="BM48" s="106"/>
    </row>
    <row r="49" spans="18:65" ht="15" customHeight="1">
      <c r="W49" s="92"/>
      <c r="AH49" s="253" t="str">
        <f>HLOOKUP('REHAU RAUPEX'!S10,Sprachen!A1:T99,36,0)</f>
        <v>Der hydraulische Nullpunkt ist gefunden, wenn die Druckverluste gleich sind.</v>
      </c>
      <c r="AI49" s="253"/>
      <c r="AJ49" s="253"/>
      <c r="AK49" s="253"/>
      <c r="AL49" s="253"/>
      <c r="AM49" s="253"/>
      <c r="AO49" s="90"/>
      <c r="AY49" s="114"/>
      <c r="BB49" s="122">
        <v>20</v>
      </c>
      <c r="BC49" s="81">
        <v>1.9</v>
      </c>
      <c r="BE49" s="116">
        <v>63</v>
      </c>
      <c r="BJ49" s="115" t="s">
        <v>9</v>
      </c>
      <c r="BK49" s="106"/>
      <c r="BL49" s="106"/>
      <c r="BM49" s="106"/>
    </row>
    <row r="50" spans="18:65" ht="15" customHeight="1">
      <c r="AC50" s="93"/>
      <c r="AH50" s="253"/>
      <c r="AI50" s="253"/>
      <c r="AJ50" s="253"/>
      <c r="AK50" s="253"/>
      <c r="AL50" s="253"/>
      <c r="AM50" s="253"/>
      <c r="AN50" s="188">
        <f>SUM(AM20:AM31)</f>
        <v>2005.758446834918</v>
      </c>
      <c r="AO50" s="188">
        <f>SUM(AM34:AM45)</f>
        <v>1970.4554911927726</v>
      </c>
      <c r="AY50" s="114"/>
      <c r="BB50" s="122">
        <v>25</v>
      </c>
      <c r="BC50" s="81">
        <v>2.2999999999999998</v>
      </c>
      <c r="BJ50" s="113" t="s">
        <v>2</v>
      </c>
      <c r="BK50" s="112">
        <f>BM51/221.287</f>
        <v>4.5190182884670129E-3</v>
      </c>
      <c r="BL50" s="96" t="s">
        <v>3</v>
      </c>
      <c r="BM50" s="111">
        <f>Ringleitung!Z9</f>
        <v>20</v>
      </c>
    </row>
    <row r="51" spans="18:65" ht="15" customHeight="1">
      <c r="AO51" s="90"/>
      <c r="AY51" s="110"/>
      <c r="BB51" s="122">
        <v>32</v>
      </c>
      <c r="BC51" s="81">
        <v>2.9</v>
      </c>
      <c r="BE51" s="104" t="s">
        <v>40</v>
      </c>
      <c r="BF51" s="103"/>
      <c r="BG51" s="109">
        <f>Ringleitung!BM54</f>
        <v>998.36112724859981</v>
      </c>
      <c r="BH51" s="101" t="s">
        <v>45</v>
      </c>
      <c r="BJ51" s="100" t="s">
        <v>4</v>
      </c>
      <c r="BK51" s="99">
        <f>(BM50+273.15)/647.3</f>
        <v>0.45288119882589217</v>
      </c>
      <c r="BL51" s="96" t="s">
        <v>5</v>
      </c>
      <c r="BM51" s="108">
        <v>1</v>
      </c>
    </row>
    <row r="52" spans="18:65" ht="15" customHeight="1">
      <c r="R52" s="92"/>
      <c r="AC52" s="93"/>
      <c r="AH52" s="203" t="str">
        <f>HLOOKUP('REHAU RAUPEX'!S10,Sprachen!A1:T99,37,0)</f>
        <v>Druckverlust gemittelt [bar]</v>
      </c>
      <c r="AI52" s="154"/>
      <c r="AJ52" s="154"/>
      <c r="AK52" s="154"/>
      <c r="AL52" s="154"/>
      <c r="AM52" s="154"/>
      <c r="AN52" s="209">
        <f>(AN32+AN46)/2</f>
        <v>1.9881069690138455E-2</v>
      </c>
      <c r="AO52" s="90"/>
      <c r="BB52" s="122">
        <v>40</v>
      </c>
      <c r="BC52" s="81">
        <v>3.7</v>
      </c>
      <c r="BE52" s="104" t="s">
        <v>47</v>
      </c>
      <c r="BF52" s="103"/>
      <c r="BG52" s="107">
        <v>7.0000000000000001E-3</v>
      </c>
      <c r="BH52" s="101" t="s">
        <v>0</v>
      </c>
      <c r="BJ52" s="100" t="s">
        <v>6</v>
      </c>
      <c r="BK52" s="99">
        <f>370000000-312219900*(BK51^2)-199985*(BK51^-6)</f>
        <v>282784428.86460602</v>
      </c>
      <c r="BL52" s="106"/>
      <c r="BM52" s="106"/>
    </row>
    <row r="53" spans="18:65" ht="15" customHeight="1">
      <c r="R53" s="92"/>
      <c r="W53" s="105"/>
      <c r="AO53" s="90"/>
      <c r="BB53" s="122">
        <v>50</v>
      </c>
      <c r="BC53" s="81">
        <v>4.5999999999999996</v>
      </c>
      <c r="BE53" s="104" t="s">
        <v>51</v>
      </c>
      <c r="BF53" s="103"/>
      <c r="BG53" s="102">
        <f>(1.78*10^-6)/(1+0.0337*Z9+0.000221*Z9^2)</f>
        <v>1.0099863822060825E-6</v>
      </c>
      <c r="BH53" s="101" t="s">
        <v>46</v>
      </c>
      <c r="BJ53" s="100" t="s">
        <v>7</v>
      </c>
      <c r="BK53" s="99">
        <f>BK52+((1.72*(BK52^2)+13629260000000000*(BK50-1.500705*BK51))^0.5)</f>
        <v>641032782.6842351</v>
      </c>
    </row>
    <row r="54" spans="18:65" ht="15" customHeight="1">
      <c r="BB54" s="122">
        <v>63</v>
      </c>
      <c r="BC54" s="81">
        <v>5.8</v>
      </c>
      <c r="BJ54" s="98" t="s">
        <v>8</v>
      </c>
      <c r="BK54" s="97">
        <f>0.417/(BK53^(1/3.4))-0.0001139706+0.00009949927*BK51+((0.6537154-BK51)^2)*(0.00007241165+((0.6537154-BK51)^8)*0.7676621)-0.00000000001052358*(62.5+13.10268*BK50+(BK50^2))/(0.000015108+(BK51^11))</f>
        <v>1.0016415630643761E-3</v>
      </c>
      <c r="BL54" s="96" t="s">
        <v>1</v>
      </c>
      <c r="BM54" s="95">
        <f>1/BK54</f>
        <v>998.36112724859981</v>
      </c>
    </row>
    <row r="55" spans="18:65" ht="15" hidden="1" customHeight="1">
      <c r="R55" s="92"/>
      <c r="AD55" s="94"/>
      <c r="AO55" s="90"/>
      <c r="BB55" s="122">
        <v>75</v>
      </c>
      <c r="BC55" s="81">
        <v>6.8</v>
      </c>
    </row>
    <row r="56" spans="18:65" ht="15" hidden="1" customHeight="1">
      <c r="R56" s="92"/>
      <c r="BB56" s="122">
        <v>90</v>
      </c>
      <c r="BC56" s="81">
        <v>8.1999999999999993</v>
      </c>
    </row>
    <row r="57" spans="18:65" ht="15" hidden="1" customHeight="1">
      <c r="AD57" s="93"/>
      <c r="BB57" s="122">
        <v>110</v>
      </c>
      <c r="BC57" s="81">
        <v>10</v>
      </c>
    </row>
    <row r="58" spans="18:65" ht="15" hidden="1" customHeight="1">
      <c r="R58" s="92"/>
      <c r="BB58" s="107">
        <v>125</v>
      </c>
      <c r="BC58" s="107">
        <v>11.4</v>
      </c>
    </row>
    <row r="59" spans="18:65" ht="15" hidden="1" customHeight="1">
      <c r="BB59" s="122">
        <v>160</v>
      </c>
      <c r="BC59" s="81">
        <v>14.6</v>
      </c>
    </row>
    <row r="60" spans="18:65" ht="15" hidden="1" customHeight="1">
      <c r="R60" s="92"/>
    </row>
    <row r="61" spans="18:65" ht="15" hidden="1" customHeight="1">
      <c r="AN61" s="148"/>
    </row>
    <row r="62" spans="18:65" ht="15" hidden="1" customHeight="1">
      <c r="R62" s="92"/>
      <c r="AN62" s="148"/>
    </row>
    <row r="63" spans="18:65" ht="15" hidden="1" customHeight="1">
      <c r="R63" s="92"/>
    </row>
    <row r="64" spans="18:65" ht="15" hidden="1" customHeight="1">
      <c r="AY64" s="154"/>
      <c r="AZ64" s="154"/>
      <c r="BA64" s="154"/>
      <c r="BB64" s="154"/>
    </row>
  </sheetData>
  <sheetProtection algorithmName="SHA-512" hashValue="KGnDtKRtIdcgHXAtXrivruGFBuhl/8km0loQdLoCamSXd/Nm1hjoY3O2d60XYqbvHPsj1E6VhxVQpgjYgVMzHw==" saltValue="cPgjw+mvi8n30LY51PooAQ==" spinCount="100000" sheet="1" objects="1" scenarios="1" selectLockedCells="1"/>
  <dataConsolidate/>
  <mergeCells count="11">
    <mergeCell ref="AH49:AM50"/>
    <mergeCell ref="H13:J13"/>
    <mergeCell ref="H12:J12"/>
    <mergeCell ref="K3:N3"/>
    <mergeCell ref="S16:S17"/>
    <mergeCell ref="AK19:AL19"/>
    <mergeCell ref="R16:R17"/>
    <mergeCell ref="U16:U17"/>
    <mergeCell ref="W7:AC7"/>
    <mergeCell ref="AJ5:AM9"/>
    <mergeCell ref="T8:U8"/>
  </mergeCells>
  <conditionalFormatting sqref="AJ20:AJ34 AJ36:AJ45">
    <cfRule type="cellIs" dxfId="9" priority="7" operator="greaterThan">
      <formula>2</formula>
    </cfRule>
    <cfRule type="cellIs" dxfId="8" priority="8" operator="between">
      <formula>1.5</formula>
      <formula>2</formula>
    </cfRule>
  </conditionalFormatting>
  <conditionalFormatting sqref="AN20:AN31 AN34:AN45">
    <cfRule type="cellIs" dxfId="7" priority="1" operator="greaterThan">
      <formula>$T$8</formula>
    </cfRule>
  </conditionalFormatting>
  <conditionalFormatting sqref="AN21">
    <cfRule type="cellIs" dxfId="6" priority="2" operator="between">
      <formula>$T$8/2</formula>
      <formula>$T$8</formula>
    </cfRule>
  </conditionalFormatting>
  <conditionalFormatting sqref="AN52">
    <cfRule type="cellIs" dxfId="5" priority="6" operator="greaterThan">
      <formula>$T$8</formula>
    </cfRule>
  </conditionalFormatting>
  <dataValidations count="6">
    <dataValidation type="list" allowBlank="1" showInputMessage="1" showErrorMessage="1" sqref="T20:T31 T34:T45" xr:uid="{00000000-0002-0000-0100-000000000000}">
      <formula1>"20,25,32,40,50,63,75,90,110,125,160"</formula1>
    </dataValidation>
    <dataValidation type="list" allowBlank="1" showInputMessage="1" showErrorMessage="1" sqref="M20:M44" xr:uid="{00000000-0002-0000-0100-000002000000}">
      <formula1>$L$6:$L$14</formula1>
    </dataValidation>
    <dataValidation type="whole" allowBlank="1" showErrorMessage="1" error="Eingabe &quot;ganze Zahl&quot; oder &quot;leer&quot;" sqref="N20" xr:uid="{00000000-0002-0000-0100-000003000000}">
      <formula1>1</formula1>
      <formula2>20</formula2>
    </dataValidation>
    <dataValidation type="whole" allowBlank="1" showInputMessage="1" showErrorMessage="1" sqref="N21:N44" xr:uid="{00000000-0002-0000-0100-000004000000}">
      <formula1>1</formula1>
      <formula2>20</formula2>
    </dataValidation>
    <dataValidation type="whole" allowBlank="1" showInputMessage="1" showErrorMessage="1" error="Maximal 20 Schweißzangen möglich!" sqref="T9:U9" xr:uid="{00000000-0002-0000-0100-000005000000}">
      <formula1>0</formula1>
      <formula2>20</formula2>
    </dataValidation>
    <dataValidation type="decimal" operator="greaterThan" allowBlank="1" showInputMessage="1" showErrorMessage="1" sqref="W5:W6 X20:AG45" xr:uid="{00000000-0002-0000-0100-000006000000}">
      <formula1>0</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landscape" r:id="rId1"/>
  <headerFooter alignWithMargins="0">
    <oddFooter>&amp;LRAUPEX_automotive_cooling_below_200_mbar_Vers_01.2021&amp;CSeite 2/5&amp;RDruckdatum &amp;D</oddFooter>
  </headerFooter>
  <ignoredErrors>
    <ignoredError sqref="W7 T8" unlockedFormula="1"/>
    <ignoredError sqref="AL32:AN32 AM46 AK3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1">
    <tabColor rgb="FF92D050"/>
    <pageSetUpPr fitToPage="1"/>
  </sheetPr>
  <dimension ref="A1:BS64"/>
  <sheetViews>
    <sheetView showGridLines="0" showRowColHeaders="0" showZeros="0" showOutlineSymbols="0" topLeftCell="Q4" zoomScale="75" zoomScaleNormal="75" zoomScaleSheetLayoutView="85" zoomScalePageLayoutView="55" workbookViewId="0">
      <selection activeCell="R20" sqref="R20"/>
    </sheetView>
  </sheetViews>
  <sheetFormatPr defaultColWidth="0" defaultRowHeight="15" customHeight="1" zeroHeight="1"/>
  <cols>
    <col min="1" max="2" width="3.28515625" style="11" hidden="1" customWidth="1"/>
    <col min="3" max="3" width="10.28515625" style="11" hidden="1" customWidth="1"/>
    <col min="4" max="4" width="11.85546875" style="11" hidden="1" customWidth="1"/>
    <col min="5" max="11" width="3.28515625" style="11" hidden="1" customWidth="1"/>
    <col min="12" max="12" width="4" style="11" hidden="1" customWidth="1"/>
    <col min="13" max="16" width="3.28515625" style="11" hidden="1" customWidth="1"/>
    <col min="17" max="17" width="4" style="11" customWidth="1"/>
    <col min="18" max="18" width="26.7109375" style="11" customWidth="1"/>
    <col min="19" max="19" width="4.28515625" style="11" customWidth="1"/>
    <col min="20" max="20" width="9" style="11" customWidth="1"/>
    <col min="21" max="21" width="4.42578125" style="11" customWidth="1"/>
    <col min="22" max="22" width="9.85546875" style="11" bestFit="1" customWidth="1"/>
    <col min="23" max="23" width="9" style="11" customWidth="1"/>
    <col min="24" max="24" width="6.85546875" style="11" customWidth="1"/>
    <col min="25" max="26" width="8.140625" style="11" bestFit="1" customWidth="1"/>
    <col min="27" max="27" width="8.5703125" style="11" customWidth="1"/>
    <col min="28" max="28" width="8.7109375" style="11" bestFit="1" customWidth="1"/>
    <col min="29" max="29" width="8.85546875" style="11" bestFit="1" customWidth="1"/>
    <col min="30" max="30" width="9.5703125" style="11" customWidth="1"/>
    <col min="31" max="31" width="7.42578125" style="11" customWidth="1"/>
    <col min="32" max="33" width="8" style="11" hidden="1" customWidth="1"/>
    <col min="34" max="34" width="8.5703125" style="11" customWidth="1"/>
    <col min="35" max="35" width="8.42578125" style="11" customWidth="1"/>
    <col min="36" max="36" width="8.7109375" style="11" customWidth="1"/>
    <col min="37" max="38" width="10" style="11" bestFit="1" customWidth="1"/>
    <col min="39" max="40" width="9.7109375" style="11" customWidth="1"/>
    <col min="41" max="41" width="11" style="44" customWidth="1"/>
    <col min="42" max="42" width="2.85546875" style="11" customWidth="1"/>
    <col min="43" max="43" width="11.42578125" style="11" customWidth="1"/>
    <col min="44" max="44" width="12.28515625" style="11" customWidth="1"/>
    <col min="45" max="52" width="11.42578125" style="11" hidden="1" customWidth="1"/>
    <col min="53" max="53" width="6.28515625" style="11" hidden="1" customWidth="1"/>
    <col min="54" max="68" width="15.7109375" style="11" hidden="1" customWidth="1"/>
    <col min="69" max="16384" width="11.42578125" style="11" hidden="1"/>
  </cols>
  <sheetData>
    <row r="1" spans="1:71" ht="15" hidden="1" customHeight="1">
      <c r="A1" s="68"/>
    </row>
    <row r="3" spans="1:71" ht="15" hidden="1" customHeight="1">
      <c r="A3" s="69"/>
      <c r="B3" s="13"/>
      <c r="C3" s="13"/>
      <c r="D3" s="70"/>
      <c r="F3" s="13"/>
      <c r="K3" s="273"/>
      <c r="L3" s="273"/>
      <c r="M3" s="273"/>
      <c r="N3" s="273"/>
      <c r="AO3" s="11"/>
    </row>
    <row r="4" spans="1:71" ht="15" customHeight="1" thickBot="1">
      <c r="F4" s="13"/>
      <c r="L4" s="30"/>
      <c r="M4" s="30"/>
      <c r="AO4" s="11"/>
    </row>
    <row r="5" spans="1:71" ht="15" customHeight="1">
      <c r="F5" s="13"/>
      <c r="M5" s="32"/>
      <c r="R5" s="159" t="str">
        <f>HLOOKUP('REHAU RAUPEX'!S10,Sprachen!A1:T99,38,0)</f>
        <v>RAUPEX INDUSTRIEROHRSYSTEM - STRANGLEITUNGEN VORLAUF MEDIUM WASSER</v>
      </c>
      <c r="AJ5" s="262" t="str">
        <f>HLOOKUP('REHAU RAUPEX'!S10,Sprachen!A1:T99,3,0)</f>
        <v>Bitte beachten Sie die
Hinweise in den
Nutzungsbedingungen</v>
      </c>
      <c r="AK5" s="263"/>
      <c r="AL5" s="263"/>
      <c r="AM5" s="264"/>
      <c r="AO5" s="11"/>
    </row>
    <row r="6" spans="1:71" ht="15" customHeight="1">
      <c r="F6" s="13"/>
      <c r="L6" s="33"/>
      <c r="M6" s="33"/>
      <c r="N6" s="33"/>
      <c r="O6" s="33"/>
      <c r="W6" s="80"/>
      <c r="AJ6" s="265"/>
      <c r="AK6" s="266"/>
      <c r="AL6" s="266"/>
      <c r="AM6" s="267"/>
      <c r="AO6" s="11"/>
    </row>
    <row r="7" spans="1:71" ht="15" customHeight="1">
      <c r="F7" s="13"/>
      <c r="L7" s="71"/>
      <c r="M7" s="71"/>
      <c r="N7" s="33"/>
      <c r="O7" s="33"/>
      <c r="R7" s="12" t="str">
        <f>HLOOKUP('REHAU RAUPEX'!S10,Sprachen!A1:T99,9,0)</f>
        <v>Betrachtung Vorlauf</v>
      </c>
      <c r="W7" s="280" t="str">
        <f>'REHAU RAUPEX'!B6</f>
        <v>Project description</v>
      </c>
      <c r="X7" s="280"/>
      <c r="Y7" s="280"/>
      <c r="Z7" s="280"/>
      <c r="AA7" s="280"/>
      <c r="AB7" s="280"/>
      <c r="AC7" s="280"/>
      <c r="AD7" s="186"/>
      <c r="AE7" s="186"/>
      <c r="AF7" s="186"/>
      <c r="AG7" s="186"/>
      <c r="AH7" s="186"/>
      <c r="AI7" s="186"/>
      <c r="AJ7" s="265"/>
      <c r="AK7" s="266"/>
      <c r="AL7" s="266"/>
      <c r="AM7" s="267"/>
      <c r="AN7" s="12"/>
      <c r="AO7" s="11"/>
    </row>
    <row r="8" spans="1:71" ht="15" customHeight="1">
      <c r="F8" s="13"/>
      <c r="L8" s="33"/>
      <c r="M8" s="33"/>
      <c r="N8" s="33"/>
      <c r="O8" s="33"/>
      <c r="R8" s="12" t="str">
        <f>HLOOKUP('REHAU RAUPEX'!S10,Sprachen!A1:T99,10,0)</f>
        <v>Gesamtdruckverlust im Vorlauf &lt;</v>
      </c>
      <c r="T8" s="281">
        <v>0.2</v>
      </c>
      <c r="U8" s="281"/>
      <c r="AJ8" s="265"/>
      <c r="AK8" s="266"/>
      <c r="AL8" s="266"/>
      <c r="AM8" s="267"/>
      <c r="AO8" s="11"/>
    </row>
    <row r="9" spans="1:71" ht="15" customHeight="1" thickBot="1">
      <c r="F9" s="13"/>
      <c r="L9" s="33"/>
      <c r="M9" s="33"/>
      <c r="N9" s="33"/>
      <c r="O9" s="33"/>
      <c r="R9" s="12"/>
      <c r="W9" s="85" t="str">
        <f>HLOOKUP('REHAU RAUPEX'!S10,Sprachen!A1:T99,11,0)</f>
        <v>Wassertemperatur:</v>
      </c>
      <c r="X9" s="22"/>
      <c r="Y9" s="22"/>
      <c r="Z9" s="242">
        <v>20</v>
      </c>
      <c r="AA9" s="22" t="s">
        <v>10</v>
      </c>
      <c r="AJ9" s="268"/>
      <c r="AK9" s="269"/>
      <c r="AL9" s="269"/>
      <c r="AM9" s="270"/>
    </row>
    <row r="10" spans="1:71" ht="15" customHeight="1">
      <c r="F10" s="13"/>
      <c r="L10" s="33"/>
      <c r="M10" s="33"/>
      <c r="N10" s="33"/>
      <c r="R10" s="12"/>
      <c r="AO10" s="11"/>
    </row>
    <row r="11" spans="1:71" ht="15" customHeight="1">
      <c r="B11" s="30"/>
      <c r="F11" s="13"/>
      <c r="G11" s="73"/>
      <c r="L11" s="33"/>
      <c r="M11" s="33"/>
      <c r="N11" s="33"/>
      <c r="AO11" s="11"/>
    </row>
    <row r="12" spans="1:71" ht="15" hidden="1" customHeight="1">
      <c r="B12" s="30"/>
      <c r="D12" s="32"/>
      <c r="H12" s="273"/>
      <c r="I12" s="273"/>
      <c r="J12" s="273"/>
      <c r="L12" s="33"/>
      <c r="M12" s="71"/>
      <c r="N12" s="33"/>
      <c r="O12" s="78"/>
      <c r="P12" s="22"/>
      <c r="S12" s="72"/>
      <c r="Y12" s="27"/>
      <c r="AO12" s="11"/>
    </row>
    <row r="13" spans="1:71" ht="14.25" hidden="1" customHeight="1">
      <c r="B13" s="31"/>
      <c r="C13" s="13"/>
      <c r="D13" s="73"/>
      <c r="E13" s="13"/>
      <c r="H13" s="273"/>
      <c r="I13" s="273"/>
      <c r="J13" s="273"/>
      <c r="L13" s="33"/>
      <c r="M13" s="71"/>
      <c r="N13" s="33"/>
      <c r="O13" s="12"/>
      <c r="AO13" s="11"/>
      <c r="BB13" s="37"/>
      <c r="BC13" s="37"/>
      <c r="BD13" s="37"/>
      <c r="BE13" s="38" t="s">
        <v>17</v>
      </c>
      <c r="BF13" s="38" t="s">
        <v>18</v>
      </c>
      <c r="BG13" s="38" t="s">
        <v>19</v>
      </c>
      <c r="BH13" s="38" t="s">
        <v>20</v>
      </c>
      <c r="BI13" s="38" t="s">
        <v>21</v>
      </c>
      <c r="BJ13" s="38" t="s">
        <v>22</v>
      </c>
      <c r="BK13" s="38" t="s">
        <v>23</v>
      </c>
      <c r="BL13" s="38" t="s">
        <v>24</v>
      </c>
      <c r="BM13" s="38" t="s">
        <v>25</v>
      </c>
      <c r="BN13" s="38" t="s">
        <v>26</v>
      </c>
      <c r="BO13" s="38" t="s">
        <v>27</v>
      </c>
      <c r="BP13" s="38" t="s">
        <v>28</v>
      </c>
    </row>
    <row r="14" spans="1:71" ht="14.25" hidden="1" customHeight="1">
      <c r="B14" s="31"/>
      <c r="D14" s="26"/>
      <c r="E14" s="13"/>
      <c r="L14" s="33"/>
      <c r="M14" s="71"/>
      <c r="N14" s="33"/>
      <c r="R14" s="12"/>
      <c r="AO14" s="11"/>
      <c r="BB14" s="37"/>
      <c r="BC14" s="37"/>
      <c r="BD14" s="37"/>
      <c r="BE14" s="37"/>
      <c r="BF14" s="37"/>
      <c r="BG14" s="37"/>
      <c r="BH14" s="37"/>
      <c r="BI14" s="37"/>
      <c r="BJ14" s="37"/>
      <c r="BK14" s="37"/>
      <c r="BL14" s="37"/>
      <c r="BM14" s="37"/>
      <c r="BN14" s="37"/>
      <c r="BO14" s="37"/>
      <c r="BP14" s="37"/>
    </row>
    <row r="15" spans="1:71" ht="15" hidden="1" customHeight="1">
      <c r="M15" s="32"/>
      <c r="AO15" s="11"/>
      <c r="BB15" s="39"/>
      <c r="BC15" s="40"/>
      <c r="BD15" s="40"/>
      <c r="BE15" s="41"/>
      <c r="BF15" s="42"/>
      <c r="BG15" s="42"/>
      <c r="BH15" s="42"/>
      <c r="BI15" s="42"/>
      <c r="BJ15" s="42"/>
      <c r="BK15" s="42"/>
      <c r="BL15" s="42"/>
      <c r="BM15" s="42"/>
      <c r="BN15" s="42"/>
      <c r="BO15" s="42"/>
      <c r="BP15" s="43"/>
    </row>
    <row r="16" spans="1:71" ht="36" customHeight="1">
      <c r="D16" s="32"/>
      <c r="F16" s="74"/>
      <c r="G16" s="74"/>
      <c r="J16" s="74"/>
      <c r="M16" s="74"/>
      <c r="N16" s="74"/>
      <c r="R16" s="276" t="str">
        <f>HLOOKUP('REHAU RAUPEX'!S10,Sprachen!A1:T99,39,0)</f>
        <v>STRANGLEITUNGEN erfassen, durch Leerzeilen sind gruppierte Teilbetrachtungen möglich.</v>
      </c>
      <c r="S16" s="274" t="str">
        <f>HLOOKUP('REHAU RAUPEX'!S10,Sprachen!A1:T99,16,0)</f>
        <v>Teilstrecke</v>
      </c>
      <c r="T16" s="34" t="str">
        <f>HLOOKUP('REHAU RAUPEX'!S10,Sprachen!A1:T99,17,0)</f>
        <v>RAUPEX Rohr</v>
      </c>
      <c r="U16" s="278" t="str">
        <f>HLOOKUP('REHAU RAUPEX'!S10,Sprachen!A1:T99,18,0)</f>
        <v>Verbraucher</v>
      </c>
      <c r="V16" s="34" t="str">
        <f>HLOOKUP('REHAU RAUPEX'!S10,Sprachen!A1:T99,19,0)</f>
        <v>Volumen-
strom
abgehend</v>
      </c>
      <c r="W16" s="34" t="str">
        <f>HLOOKUP('REHAU RAUPEX'!S10,Sprachen!A1:T99,20,0)</f>
        <v>Volumen-
strom
gesamt</v>
      </c>
      <c r="X16" s="34" t="str">
        <f>HLOOKUP('REHAU RAUPEX'!S10,Sprachen!A1:T99,21,0)</f>
        <v>Rohr-
länge</v>
      </c>
      <c r="Y16" s="145" t="str">
        <f>HLOOKUP('REHAU RAUPEX'!S10,Sprachen!A1:T99,22,0)</f>
        <v>Winkel 90°</v>
      </c>
      <c r="Z16" s="145" t="str">
        <f>HLOOKUP('REHAU RAUPEX'!S10,Sprachen!A1:T99,23,0)</f>
        <v>Winkel 45°</v>
      </c>
      <c r="AA16" s="145" t="str">
        <f>HLOOKUP('REHAU RAUPEX'!S10,Sprachen!A1:T99,24,0)</f>
        <v>T-Stück Abzweig</v>
      </c>
      <c r="AB16" s="145" t="str">
        <f>HLOOKUP('REHAU RAUPEX'!S10,Sprachen!A1:T99,25,0)</f>
        <v>T-Stück Durchgang</v>
      </c>
      <c r="AC16" s="145" t="str">
        <f>HLOOKUP('REHAU RAUPEX'!S10,Sprachen!A1:T99,26,0)</f>
        <v>T-Stück Verteilung</v>
      </c>
      <c r="AD16" s="145" t="str">
        <f>HLOOKUP('REHAU RAUPEX'!S10,Sprachen!A1:T99,27,0)</f>
        <v>T-Stück Vereinigung</v>
      </c>
      <c r="AE16" s="145" t="str">
        <f>HLOOKUP('REHAU RAUPEX'!S10,Sprachen!A1:T99,28,0)</f>
        <v>Redu-
zierung</v>
      </c>
      <c r="AF16" s="34" t="s">
        <v>48</v>
      </c>
      <c r="AG16" s="34" t="s">
        <v>38</v>
      </c>
      <c r="AH16" s="145" t="str">
        <f>HLOOKUP('REHAU RAUPEX'!S10,Sprachen!A1:T99,29,0)</f>
        <v>Rohr-
reibung</v>
      </c>
      <c r="AI16" s="145" t="str">
        <f>HLOOKUP('REHAU RAUPEX'!S10,Sprachen!A1:T99,30,0)</f>
        <v>Reynolds-
zahl</v>
      </c>
      <c r="AJ16" s="145" t="str">
        <f>HLOOKUP('REHAU RAUPEX'!S10,Sprachen!A1:T99,31,0)</f>
        <v>Geschwin-
digkeit</v>
      </c>
      <c r="AK16" s="145" t="str">
        <f>HLOOKUP('REHAU RAUPEX'!S10,Sprachen!A1:T99,32,0)</f>
        <v>Druckverlust Formteile</v>
      </c>
      <c r="AL16" s="145" t="str">
        <f>HLOOKUP('REHAU RAUPEX'!S10,Sprachen!A1:T99,33,0)</f>
        <v>Druckverlust Rohr</v>
      </c>
      <c r="AM16" s="145" t="str">
        <f>HLOOKUP('REHAU RAUPEX'!S10,Sprachen!A1:T99,34,0)</f>
        <v>Druckverlust Formteil + Rohr</v>
      </c>
      <c r="AN16" s="145" t="str">
        <f>HLOOKUP('REHAU RAUPEX'!S10,Sprachen!A1:T99,34,0)</f>
        <v>Druckverlust Formteil + Rohr</v>
      </c>
      <c r="AO16" s="145" t="str">
        <f>HLOOKUP('REHAU RAUPEX'!S10,Sprachen!A1:T99,35,0)</f>
        <v>Druckverlust Gruppierung kommuliert</v>
      </c>
      <c r="AP16" s="24"/>
      <c r="BB16" s="44"/>
      <c r="BC16" s="45"/>
      <c r="BD16" s="45"/>
      <c r="BE16" s="41"/>
      <c r="BF16" s="42"/>
      <c r="BG16" s="42"/>
      <c r="BH16" s="42"/>
      <c r="BI16" s="42"/>
      <c r="BJ16" s="42"/>
      <c r="BK16" s="42"/>
      <c r="BL16" s="42"/>
      <c r="BM16" s="42"/>
      <c r="BN16" s="42"/>
      <c r="BO16" s="42"/>
      <c r="BP16" s="42"/>
      <c r="BS16" s="24"/>
    </row>
    <row r="17" spans="6:68" ht="28.5" customHeight="1">
      <c r="F17" s="74"/>
      <c r="G17" s="74"/>
      <c r="J17" s="74"/>
      <c r="M17" s="74"/>
      <c r="N17" s="74"/>
      <c r="R17" s="277"/>
      <c r="S17" s="274"/>
      <c r="T17" s="35" t="s">
        <v>52</v>
      </c>
      <c r="U17" s="279"/>
      <c r="V17" s="36" t="s">
        <v>44</v>
      </c>
      <c r="W17" s="35" t="s">
        <v>44</v>
      </c>
      <c r="X17" s="35" t="s">
        <v>12</v>
      </c>
      <c r="Y17" s="28">
        <v>1.3</v>
      </c>
      <c r="Z17" s="28">
        <v>0.5</v>
      </c>
      <c r="AA17" s="28">
        <v>1.3</v>
      </c>
      <c r="AB17" s="28">
        <v>0.3</v>
      </c>
      <c r="AC17" s="28">
        <v>1.5</v>
      </c>
      <c r="AD17" s="28">
        <v>1.3</v>
      </c>
      <c r="AE17" s="28">
        <v>0.4</v>
      </c>
      <c r="AF17" s="29">
        <v>0.5</v>
      </c>
      <c r="AG17" s="29">
        <v>0.1</v>
      </c>
      <c r="AH17" s="35" t="s">
        <v>14</v>
      </c>
      <c r="AI17" s="35" t="s">
        <v>13</v>
      </c>
      <c r="AJ17" s="35" t="s">
        <v>16</v>
      </c>
      <c r="AK17" s="35" t="s">
        <v>15</v>
      </c>
      <c r="AL17" s="35" t="s">
        <v>15</v>
      </c>
      <c r="AM17" s="35" t="s">
        <v>15</v>
      </c>
      <c r="AN17" s="35" t="s">
        <v>11</v>
      </c>
      <c r="AO17" s="35" t="s">
        <v>11</v>
      </c>
      <c r="BB17" s="44"/>
      <c r="BC17" s="46"/>
      <c r="BD17" s="46"/>
      <c r="BE17" s="47"/>
      <c r="BF17" s="48"/>
      <c r="BG17" s="42"/>
      <c r="BH17" s="42"/>
      <c r="BI17" s="42"/>
      <c r="BJ17" s="42"/>
      <c r="BK17" s="42"/>
      <c r="BL17" s="42"/>
      <c r="BM17" s="42"/>
      <c r="BN17" s="42"/>
      <c r="BO17" s="42"/>
      <c r="BP17" s="42"/>
    </row>
    <row r="18" spans="6:68" ht="15" customHeight="1">
      <c r="F18" s="74"/>
      <c r="G18" s="74"/>
      <c r="J18" s="74"/>
      <c r="M18" s="74"/>
      <c r="N18" s="74"/>
      <c r="T18" s="90" t="s">
        <v>434</v>
      </c>
      <c r="V18" s="90" t="s">
        <v>434</v>
      </c>
      <c r="X18" s="90" t="s">
        <v>434</v>
      </c>
      <c r="Y18" s="90" t="s">
        <v>434</v>
      </c>
      <c r="Z18" s="90" t="s">
        <v>434</v>
      </c>
      <c r="AA18" s="90" t="s">
        <v>434</v>
      </c>
      <c r="AB18" s="90" t="s">
        <v>434</v>
      </c>
      <c r="AC18" s="90" t="s">
        <v>434</v>
      </c>
      <c r="AD18" s="90" t="s">
        <v>434</v>
      </c>
      <c r="AE18" s="90" t="s">
        <v>434</v>
      </c>
      <c r="AK18" s="26"/>
      <c r="AL18" s="26"/>
      <c r="AM18" s="58"/>
      <c r="AN18" s="58"/>
      <c r="AO18" s="58"/>
    </row>
    <row r="19" spans="6:68" ht="15" customHeight="1">
      <c r="F19" s="74"/>
      <c r="G19" s="74"/>
      <c r="J19" s="74"/>
      <c r="M19" s="74"/>
      <c r="N19" s="74"/>
      <c r="R19" s="79"/>
      <c r="S19" s="75"/>
      <c r="AK19" s="275"/>
      <c r="AL19" s="275"/>
      <c r="AM19" s="58"/>
      <c r="AN19" s="58"/>
      <c r="AO19" s="58"/>
      <c r="AY19" s="82" t="s">
        <v>53</v>
      </c>
      <c r="AZ19" s="19"/>
      <c r="BB19" s="49" t="s">
        <v>29</v>
      </c>
      <c r="BC19" s="50" t="s">
        <v>30</v>
      </c>
      <c r="BD19" s="50" t="s">
        <v>31</v>
      </c>
      <c r="BE19" s="51" t="s">
        <v>17</v>
      </c>
      <c r="BF19" s="51" t="s">
        <v>18</v>
      </c>
      <c r="BG19" s="51" t="s">
        <v>19</v>
      </c>
      <c r="BH19" s="51" t="s">
        <v>20</v>
      </c>
      <c r="BI19" s="51" t="s">
        <v>21</v>
      </c>
      <c r="BJ19" s="51" t="s">
        <v>22</v>
      </c>
      <c r="BK19" s="51" t="s">
        <v>23</v>
      </c>
      <c r="BL19" s="51" t="s">
        <v>24</v>
      </c>
      <c r="BM19" s="51" t="s">
        <v>25</v>
      </c>
      <c r="BN19" s="51" t="s">
        <v>26</v>
      </c>
      <c r="BO19" s="51" t="s">
        <v>27</v>
      </c>
    </row>
    <row r="20" spans="6:68" ht="15" customHeight="1">
      <c r="R20" s="245" t="s">
        <v>412</v>
      </c>
      <c r="S20" s="190" t="s">
        <v>72</v>
      </c>
      <c r="T20" s="190">
        <v>32</v>
      </c>
      <c r="U20" s="190" t="s">
        <v>67</v>
      </c>
      <c r="V20" s="190">
        <v>8</v>
      </c>
      <c r="W20" s="14">
        <f t="shared" ref="W20:W32" si="0">IF(OR(V21=0,V20=0),V20,V20+W21)</f>
        <v>40</v>
      </c>
      <c r="X20" s="192">
        <v>5</v>
      </c>
      <c r="Y20" s="190"/>
      <c r="Z20" s="190"/>
      <c r="AA20" s="190"/>
      <c r="AB20" s="190">
        <v>1</v>
      </c>
      <c r="AC20" s="190"/>
      <c r="AD20" s="190"/>
      <c r="AE20" s="190"/>
      <c r="AF20" s="187"/>
      <c r="AG20" s="187"/>
      <c r="AH20" s="16">
        <f t="shared" ref="AH20:AH45" si="1">IFERROR(BO20*$BG$51*(AJ20^2)/(AY20-2*AZ20)/2/10^-3,0)</f>
        <v>694.85249287407999</v>
      </c>
      <c r="AI20" s="15">
        <f t="shared" ref="AI20:AI45" si="2">IFERROR(AJ20*(AY20-2*AZ20)/$BG$53/1000,0)</f>
        <v>32077.613483735753</v>
      </c>
      <c r="AJ20" s="17">
        <f t="shared" ref="AJ20:AJ45" si="3">IFERROR((W20/60)*4000/((AY20-2*AZ20)^2)/PI(),0)</f>
        <v>1.2365630836734094</v>
      </c>
      <c r="AK20" s="16">
        <f t="shared" ref="AK20:AK45" si="4">(Y20*$Y$17*($BG$51/2)*AJ20^2)+(Z20*$Z$17*($BG$51/2)*AJ20^2)+(AA20*$AA$17*($BG$51/2)*AJ20^2)+(AB20*$AB$17*($BG$51/2)*AJ20^2)+(AC20*$AC$17*($BG$51/2)*AJ20^2)+(AD20*$AD$17*($BG$51/2)*AJ20^2)+(AE20*$AE$17*($BG$51/2)*AJ20^2)+(AF20*$L$12*($BG$51/2)*AJ20^2)+(AG20*$L$13*($BG$51/2)*AJ20^2)</f>
        <v>228.98734182303733</v>
      </c>
      <c r="AL20" s="16">
        <f t="shared" ref="AL20:AL25" si="5">AH20*X20</f>
        <v>3474.2624643703998</v>
      </c>
      <c r="AM20" s="84">
        <f>AK20+AL20</f>
        <v>3703.2498061934371</v>
      </c>
      <c r="AN20" s="17">
        <f t="shared" ref="AN20:AN45" si="6">(AK20+AL20)/100000</f>
        <v>3.7032498061934371E-2</v>
      </c>
      <c r="AO20" s="83">
        <f t="shared" ref="AO20:AO45" si="7">IF(V20=0,0,IF(AO19=0,AN20,(AN20+AO19)))</f>
        <v>3.7032498061934371E-2</v>
      </c>
      <c r="AP20" s="25"/>
      <c r="AY20" s="14">
        <f t="shared" ref="AY20:AY45" si="8">T20</f>
        <v>32</v>
      </c>
      <c r="AZ20" s="14">
        <f t="shared" ref="AZ20:AZ45" si="9">IFERROR(LOOKUP(AY20,$BB$49:$BC$59),0)</f>
        <v>2.9</v>
      </c>
      <c r="BB20" s="52">
        <f t="shared" ref="BB20:BB45" si="10">$BG$52</f>
        <v>7.0000000000000001E-3</v>
      </c>
      <c r="BC20" s="53">
        <f t="shared" ref="BC20:BC45" si="11">AY20-AZ20-AZ20</f>
        <v>26.200000000000003</v>
      </c>
      <c r="BD20" s="54">
        <f t="shared" ref="BD20:BD45" si="12">AI20</f>
        <v>32077.613483735753</v>
      </c>
      <c r="BE20" s="55">
        <v>0.1</v>
      </c>
      <c r="BF20" s="56">
        <f t="shared" ref="BF20:BF25" si="13">(-2*LOG(((BB20/BC20)/3.71)+(2.51/(BD20*(BE20)^0.5))))^(-2)</f>
        <v>2.0459701236441332E-2</v>
      </c>
      <c r="BG20" s="56">
        <f t="shared" ref="BG20:BG25" si="14">(-2*LOG(((BB20/BC20)/3.71)+(2.51/(BD20*(BF20)^0.5))))^(-2)</f>
        <v>2.4288387415353285E-2</v>
      </c>
      <c r="BH20" s="56">
        <f t="shared" ref="BH20:BH25" si="15">(-2*LOG(((BB20/BC20)/3.71)+(2.51/(BD20*(BG20)^0.5))))^(-2)</f>
        <v>2.3800027160217042E-2</v>
      </c>
      <c r="BI20" s="56">
        <f t="shared" ref="BI20:BI25" si="16">(-2*LOG(((BB20/BC20)/3.71)+(2.51/(BD20*(BH20)^0.5))))^(-2)</f>
        <v>2.3856816466915915E-2</v>
      </c>
      <c r="BJ20" s="56">
        <f t="shared" ref="BJ20:BJ25" si="17">(-2*LOG(((BB20/BC20)/3.71)+(2.51/(BD20*(BI20)^0.5))))^(-2)</f>
        <v>2.3850138856321059E-2</v>
      </c>
      <c r="BK20" s="56">
        <f t="shared" ref="BK20:BK25" si="18">(-2*LOG(((BB20/BC20)/3.71)+(2.51/(BD20*(BJ20)^0.5))))^(-2)</f>
        <v>2.3850923026093162E-2</v>
      </c>
      <c r="BL20" s="56">
        <f t="shared" ref="BL20:BL25" si="19">(-2*LOG(((BB20/BC20)/3.71)+(2.51/(BD20*(BK20)^0.5))))^(-2)</f>
        <v>2.3850830924838706E-2</v>
      </c>
      <c r="BM20" s="56">
        <f t="shared" ref="BM20:BM25" si="20">(-2*LOG(((BB20/BC20)/3.71)+(2.51/(BD20*(BL20)^0.5))))^(-2)</f>
        <v>2.3850841741997145E-2</v>
      </c>
      <c r="BN20" s="56">
        <f t="shared" ref="BN20:BN25" si="21">(-2*LOG(((BB20/BC20)/3.71)+(2.51/(BD20*(BM20)^0.5))))^(-2)</f>
        <v>2.3850840471534931E-2</v>
      </c>
      <c r="BO20" s="57">
        <f t="shared" ref="BO20:BO25" si="22">(-2*LOG(((BB20/BC20)/3.71)+(2.51/(BD20*(BN20)^0.5))))^(-2)</f>
        <v>2.3850840620749148E-2</v>
      </c>
    </row>
    <row r="21" spans="6:68" ht="15" customHeight="1">
      <c r="R21" s="243" t="s">
        <v>412</v>
      </c>
      <c r="S21" s="193" t="s">
        <v>75</v>
      </c>
      <c r="T21" s="193">
        <v>32</v>
      </c>
      <c r="U21" s="193" t="s">
        <v>71</v>
      </c>
      <c r="V21" s="193">
        <v>16.8</v>
      </c>
      <c r="W21" s="14">
        <f t="shared" si="0"/>
        <v>32</v>
      </c>
      <c r="X21" s="195">
        <v>5</v>
      </c>
      <c r="Y21" s="193"/>
      <c r="Z21" s="193"/>
      <c r="AA21" s="193"/>
      <c r="AB21" s="193"/>
      <c r="AC21" s="190">
        <v>1</v>
      </c>
      <c r="AD21" s="190"/>
      <c r="AE21" s="190"/>
      <c r="AF21" s="187"/>
      <c r="AG21" s="187"/>
      <c r="AH21" s="16">
        <f t="shared" si="1"/>
        <v>466.53001139236483</v>
      </c>
      <c r="AI21" s="15">
        <f t="shared" si="2"/>
        <v>25662.09078698861</v>
      </c>
      <c r="AJ21" s="17">
        <f t="shared" si="3"/>
        <v>0.98925046693872776</v>
      </c>
      <c r="AK21" s="16">
        <f t="shared" si="4"/>
        <v>732.75949383371983</v>
      </c>
      <c r="AL21" s="16">
        <f t="shared" si="5"/>
        <v>2332.6500569618242</v>
      </c>
      <c r="AM21" s="84">
        <f t="shared" ref="AM21:AM45" si="23">AK21+AL21</f>
        <v>3065.409550795544</v>
      </c>
      <c r="AN21" s="17">
        <f t="shared" si="6"/>
        <v>3.0654095507955441E-2</v>
      </c>
      <c r="AO21" s="83">
        <f t="shared" si="7"/>
        <v>6.7686593569889819E-2</v>
      </c>
      <c r="AP21" s="25"/>
      <c r="AY21" s="14">
        <f t="shared" si="8"/>
        <v>32</v>
      </c>
      <c r="AZ21" s="14">
        <f t="shared" si="9"/>
        <v>2.9</v>
      </c>
      <c r="BB21" s="52">
        <f t="shared" si="10"/>
        <v>7.0000000000000001E-3</v>
      </c>
      <c r="BC21" s="53">
        <f t="shared" si="11"/>
        <v>26.200000000000003</v>
      </c>
      <c r="BD21" s="54">
        <f t="shared" si="12"/>
        <v>25662.09078698861</v>
      </c>
      <c r="BE21" s="55">
        <v>0.1</v>
      </c>
      <c r="BF21" s="56">
        <f t="shared" si="13"/>
        <v>2.1390172609694447E-2</v>
      </c>
      <c r="BG21" s="56">
        <f t="shared" si="14"/>
        <v>2.5513224522990659E-2</v>
      </c>
      <c r="BH21" s="56">
        <f t="shared" si="15"/>
        <v>2.496154052742091E-2</v>
      </c>
      <c r="BI21" s="56">
        <f t="shared" si="16"/>
        <v>2.5028717604461435E-2</v>
      </c>
      <c r="BJ21" s="56">
        <f t="shared" si="17"/>
        <v>2.5020439917858798E-2</v>
      </c>
      <c r="BK21" s="56">
        <f t="shared" si="18"/>
        <v>2.5021458424901267E-2</v>
      </c>
      <c r="BL21" s="56">
        <f t="shared" si="19"/>
        <v>2.5021333082792606E-2</v>
      </c>
      <c r="BM21" s="56">
        <f t="shared" si="20"/>
        <v>2.5021348507622044E-2</v>
      </c>
      <c r="BN21" s="56">
        <f t="shared" si="21"/>
        <v>2.5021346609409131E-2</v>
      </c>
      <c r="BO21" s="57">
        <f t="shared" si="22"/>
        <v>2.5021346843007251E-2</v>
      </c>
    </row>
    <row r="22" spans="6:68" ht="15" customHeight="1">
      <c r="R22" s="243" t="s">
        <v>412</v>
      </c>
      <c r="S22" s="193" t="s">
        <v>56</v>
      </c>
      <c r="T22" s="193">
        <v>32</v>
      </c>
      <c r="U22" s="193" t="s">
        <v>68</v>
      </c>
      <c r="V22" s="193">
        <v>8</v>
      </c>
      <c r="W22" s="14">
        <f t="shared" si="0"/>
        <v>15.2</v>
      </c>
      <c r="X22" s="195">
        <v>10</v>
      </c>
      <c r="Y22" s="193">
        <v>1</v>
      </c>
      <c r="Z22" s="193"/>
      <c r="AA22" s="193"/>
      <c r="AB22" s="193">
        <v>1</v>
      </c>
      <c r="AC22" s="190"/>
      <c r="AD22" s="190"/>
      <c r="AE22" s="190"/>
      <c r="AF22" s="187"/>
      <c r="AG22" s="187"/>
      <c r="AH22" s="16">
        <f t="shared" si="1"/>
        <v>125.24721743472955</v>
      </c>
      <c r="AI22" s="15">
        <f t="shared" si="2"/>
        <v>12189.493123819584</v>
      </c>
      <c r="AJ22" s="17">
        <f t="shared" si="3"/>
        <v>0.46989397179589548</v>
      </c>
      <c r="AK22" s="16">
        <f t="shared" si="4"/>
        <v>176.35078484931506</v>
      </c>
      <c r="AL22" s="16">
        <f t="shared" si="5"/>
        <v>1252.4721743472955</v>
      </c>
      <c r="AM22" s="84">
        <f t="shared" si="23"/>
        <v>1428.8229591966106</v>
      </c>
      <c r="AN22" s="17">
        <f t="shared" si="6"/>
        <v>1.4288229591966106E-2</v>
      </c>
      <c r="AO22" s="83">
        <f t="shared" si="7"/>
        <v>8.197482316185592E-2</v>
      </c>
      <c r="AP22" s="25"/>
      <c r="AY22" s="14">
        <f t="shared" si="8"/>
        <v>32</v>
      </c>
      <c r="AZ22" s="14">
        <f t="shared" si="9"/>
        <v>2.9</v>
      </c>
      <c r="BB22" s="52">
        <f t="shared" si="10"/>
        <v>7.0000000000000001E-3</v>
      </c>
      <c r="BC22" s="53">
        <f t="shared" si="11"/>
        <v>26.200000000000003</v>
      </c>
      <c r="BD22" s="54">
        <f t="shared" si="12"/>
        <v>12189.493123819584</v>
      </c>
      <c r="BE22" s="55">
        <v>0.1</v>
      </c>
      <c r="BF22" s="56">
        <f t="shared" si="13"/>
        <v>2.5343788401633073E-2</v>
      </c>
      <c r="BG22" s="56">
        <f t="shared" si="14"/>
        <v>3.0463274569158174E-2</v>
      </c>
      <c r="BH22" s="56">
        <f t="shared" si="15"/>
        <v>2.967598459702812E-2</v>
      </c>
      <c r="BI22" s="56">
        <f t="shared" si="16"/>
        <v>2.9785907595601544E-2</v>
      </c>
      <c r="BJ22" s="56">
        <f t="shared" si="17"/>
        <v>2.9770343973526091E-2</v>
      </c>
      <c r="BK22" s="56">
        <f t="shared" si="18"/>
        <v>2.977254324014425E-2</v>
      </c>
      <c r="BL22" s="56">
        <f t="shared" si="19"/>
        <v>2.9772232379331423E-2</v>
      </c>
      <c r="BM22" s="56">
        <f t="shared" si="20"/>
        <v>2.9772276316997949E-2</v>
      </c>
      <c r="BN22" s="56">
        <f t="shared" si="21"/>
        <v>2.9772270106728931E-2</v>
      </c>
      <c r="BO22" s="57">
        <f t="shared" si="22"/>
        <v>2.977227098450452E-2</v>
      </c>
    </row>
    <row r="23" spans="6:68" ht="15" customHeight="1">
      <c r="R23" s="243" t="s">
        <v>412</v>
      </c>
      <c r="S23" s="193" t="s">
        <v>57</v>
      </c>
      <c r="T23" s="193">
        <v>32</v>
      </c>
      <c r="U23" s="193" t="s">
        <v>69</v>
      </c>
      <c r="V23" s="193">
        <v>7.2</v>
      </c>
      <c r="W23" s="14">
        <f t="shared" si="0"/>
        <v>7.2</v>
      </c>
      <c r="X23" s="195">
        <v>15</v>
      </c>
      <c r="Y23" s="193">
        <v>1</v>
      </c>
      <c r="Z23" s="193"/>
      <c r="AA23" s="193">
        <v>1</v>
      </c>
      <c r="AB23" s="193"/>
      <c r="AC23" s="190"/>
      <c r="AD23" s="190"/>
      <c r="AE23" s="190"/>
      <c r="AF23" s="187"/>
      <c r="AG23" s="187"/>
      <c r="AH23" s="16">
        <f t="shared" si="1"/>
        <v>34.175722803626563</v>
      </c>
      <c r="AI23" s="15">
        <f t="shared" si="2"/>
        <v>5773.9704270724378</v>
      </c>
      <c r="AJ23" s="17">
        <f t="shared" si="3"/>
        <v>0.22258135506121374</v>
      </c>
      <c r="AK23" s="16">
        <f t="shared" si="4"/>
        <v>64.299645583908898</v>
      </c>
      <c r="AL23" s="16">
        <f t="shared" si="5"/>
        <v>512.63584205439849</v>
      </c>
      <c r="AM23" s="84">
        <f t="shared" si="23"/>
        <v>576.93548763830745</v>
      </c>
      <c r="AN23" s="17">
        <f t="shared" si="6"/>
        <v>5.7693548763830746E-3</v>
      </c>
      <c r="AO23" s="83">
        <f t="shared" si="7"/>
        <v>8.7744178038239001E-2</v>
      </c>
      <c r="AP23" s="25"/>
      <c r="AY23" s="14">
        <f t="shared" si="8"/>
        <v>32</v>
      </c>
      <c r="AZ23" s="14">
        <f t="shared" si="9"/>
        <v>2.9</v>
      </c>
      <c r="BB23" s="52">
        <f t="shared" si="10"/>
        <v>7.0000000000000001E-3</v>
      </c>
      <c r="BC23" s="53">
        <f t="shared" si="11"/>
        <v>26.200000000000003</v>
      </c>
      <c r="BD23" s="54">
        <f t="shared" si="12"/>
        <v>5773.9704270724378</v>
      </c>
      <c r="BE23" s="55">
        <v>0.1</v>
      </c>
      <c r="BF23" s="56">
        <f t="shared" si="13"/>
        <v>3.1004013617042834E-2</v>
      </c>
      <c r="BG23" s="56">
        <f t="shared" si="14"/>
        <v>3.7124247435796114E-2</v>
      </c>
      <c r="BH23" s="56">
        <f t="shared" si="15"/>
        <v>3.6061483077111704E-2</v>
      </c>
      <c r="BI23" s="56">
        <f t="shared" si="16"/>
        <v>3.6229524651923431E-2</v>
      </c>
      <c r="BJ23" s="56">
        <f t="shared" si="17"/>
        <v>3.6202543440011933E-2</v>
      </c>
      <c r="BK23" s="56">
        <f t="shared" si="18"/>
        <v>3.6206865015028115E-2</v>
      </c>
      <c r="BL23" s="56">
        <f t="shared" si="19"/>
        <v>3.62061725573238E-2</v>
      </c>
      <c r="BM23" s="56">
        <f t="shared" si="20"/>
        <v>3.6206283504720577E-2</v>
      </c>
      <c r="BN23" s="56">
        <f t="shared" si="21"/>
        <v>3.6206265728257275E-2</v>
      </c>
      <c r="BO23" s="57">
        <f t="shared" si="22"/>
        <v>3.6206268576473154E-2</v>
      </c>
    </row>
    <row r="24" spans="6:68" ht="15" customHeight="1">
      <c r="R24" s="243"/>
      <c r="S24" s="193"/>
      <c r="T24" s="193"/>
      <c r="U24" s="193"/>
      <c r="V24" s="193"/>
      <c r="W24" s="14">
        <f t="shared" si="0"/>
        <v>0</v>
      </c>
      <c r="X24" s="195"/>
      <c r="Y24" s="193"/>
      <c r="Z24" s="193"/>
      <c r="AA24" s="193"/>
      <c r="AB24" s="193"/>
      <c r="AC24" s="190"/>
      <c r="AD24" s="190"/>
      <c r="AE24" s="190"/>
      <c r="AF24" s="187"/>
      <c r="AG24" s="187"/>
      <c r="AH24" s="16">
        <f t="shared" si="1"/>
        <v>0</v>
      </c>
      <c r="AI24" s="15">
        <f t="shared" si="2"/>
        <v>0</v>
      </c>
      <c r="AJ24" s="17">
        <f t="shared" si="3"/>
        <v>0</v>
      </c>
      <c r="AK24" s="16">
        <f t="shared" si="4"/>
        <v>0</v>
      </c>
      <c r="AL24" s="16">
        <f t="shared" si="5"/>
        <v>0</v>
      </c>
      <c r="AM24" s="84">
        <f t="shared" si="23"/>
        <v>0</v>
      </c>
      <c r="AN24" s="17">
        <f t="shared" si="6"/>
        <v>0</v>
      </c>
      <c r="AO24" s="83">
        <f t="shared" si="7"/>
        <v>0</v>
      </c>
      <c r="AP24" s="25"/>
      <c r="AY24" s="14">
        <f t="shared" si="8"/>
        <v>0</v>
      </c>
      <c r="AZ24" s="14">
        <f t="shared" si="9"/>
        <v>0</v>
      </c>
      <c r="BB24" s="52">
        <f t="shared" si="10"/>
        <v>7.0000000000000001E-3</v>
      </c>
      <c r="BC24" s="53">
        <f t="shared" si="11"/>
        <v>0</v>
      </c>
      <c r="BD24" s="54">
        <f t="shared" si="12"/>
        <v>0</v>
      </c>
      <c r="BE24" s="55">
        <v>0.1</v>
      </c>
      <c r="BF24" s="56" t="e">
        <f t="shared" si="13"/>
        <v>#DIV/0!</v>
      </c>
      <c r="BG24" s="56" t="e">
        <f t="shared" si="14"/>
        <v>#DIV/0!</v>
      </c>
      <c r="BH24" s="56" t="e">
        <f t="shared" si="15"/>
        <v>#DIV/0!</v>
      </c>
      <c r="BI24" s="56" t="e">
        <f t="shared" si="16"/>
        <v>#DIV/0!</v>
      </c>
      <c r="BJ24" s="56" t="e">
        <f t="shared" si="17"/>
        <v>#DIV/0!</v>
      </c>
      <c r="BK24" s="56" t="e">
        <f t="shared" si="18"/>
        <v>#DIV/0!</v>
      </c>
      <c r="BL24" s="56" t="e">
        <f t="shared" si="19"/>
        <v>#DIV/0!</v>
      </c>
      <c r="BM24" s="56" t="e">
        <f t="shared" si="20"/>
        <v>#DIV/0!</v>
      </c>
      <c r="BN24" s="56" t="e">
        <f t="shared" si="21"/>
        <v>#DIV/0!</v>
      </c>
      <c r="BO24" s="57" t="e">
        <f t="shared" si="22"/>
        <v>#DIV/0!</v>
      </c>
    </row>
    <row r="25" spans="6:68" ht="15" customHeight="1">
      <c r="R25" s="243" t="s">
        <v>413</v>
      </c>
      <c r="S25" s="193" t="s">
        <v>77</v>
      </c>
      <c r="T25" s="193">
        <v>32</v>
      </c>
      <c r="U25" s="193" t="s">
        <v>69</v>
      </c>
      <c r="V25" s="193">
        <v>8</v>
      </c>
      <c r="W25" s="14">
        <f t="shared" si="0"/>
        <v>8</v>
      </c>
      <c r="X25" s="195">
        <v>2</v>
      </c>
      <c r="Y25" s="193"/>
      <c r="Z25" s="193"/>
      <c r="AA25" s="193"/>
      <c r="AB25" s="193"/>
      <c r="AC25" s="190"/>
      <c r="AD25" s="190"/>
      <c r="AE25" s="190">
        <v>1</v>
      </c>
      <c r="AF25" s="187"/>
      <c r="AG25" s="187"/>
      <c r="AH25" s="16">
        <f t="shared" si="1"/>
        <v>40.991021067595</v>
      </c>
      <c r="AI25" s="15">
        <f t="shared" si="2"/>
        <v>6415.5226967471526</v>
      </c>
      <c r="AJ25" s="17">
        <f t="shared" si="3"/>
        <v>0.24731261673468194</v>
      </c>
      <c r="AK25" s="16">
        <f t="shared" si="4"/>
        <v>12.212658230561997</v>
      </c>
      <c r="AL25" s="16">
        <f t="shared" si="5"/>
        <v>81.982042135189999</v>
      </c>
      <c r="AM25" s="84">
        <f t="shared" si="23"/>
        <v>94.194700365751999</v>
      </c>
      <c r="AN25" s="17">
        <f t="shared" si="6"/>
        <v>9.4194700365751998E-4</v>
      </c>
      <c r="AO25" s="83">
        <f t="shared" si="7"/>
        <v>9.4194700365751998E-4</v>
      </c>
      <c r="AP25" s="25"/>
      <c r="AY25" s="14">
        <f t="shared" si="8"/>
        <v>32</v>
      </c>
      <c r="AZ25" s="14">
        <f t="shared" si="9"/>
        <v>2.9</v>
      </c>
      <c r="BB25" s="52">
        <f t="shared" si="10"/>
        <v>7.0000000000000001E-3</v>
      </c>
      <c r="BC25" s="53">
        <f t="shared" si="11"/>
        <v>26.200000000000003</v>
      </c>
      <c r="BD25" s="54">
        <f t="shared" si="12"/>
        <v>6415.5226967471526</v>
      </c>
      <c r="BE25" s="55">
        <v>0.1</v>
      </c>
      <c r="BF25" s="56">
        <f t="shared" si="13"/>
        <v>3.0078386107023788E-2</v>
      </c>
      <c r="BG25" s="56">
        <f t="shared" si="14"/>
        <v>3.6059998574821686E-2</v>
      </c>
      <c r="BH25" s="56">
        <f t="shared" si="15"/>
        <v>3.5038328623955048E-2</v>
      </c>
      <c r="BI25" s="56">
        <f t="shared" si="16"/>
        <v>3.5197109230150972E-2</v>
      </c>
      <c r="BJ25" s="56">
        <f t="shared" si="17"/>
        <v>3.5172054670346148E-2</v>
      </c>
      <c r="BK25" s="56">
        <f t="shared" si="18"/>
        <v>3.5175998698979846E-2</v>
      </c>
      <c r="BL25" s="56">
        <f t="shared" si="19"/>
        <v>3.5175377606064109E-2</v>
      </c>
      <c r="BM25" s="56">
        <f t="shared" si="20"/>
        <v>3.5175475407986205E-2</v>
      </c>
      <c r="BN25" s="56">
        <f t="shared" si="21"/>
        <v>3.51754600072227E-2</v>
      </c>
      <c r="BO25" s="57">
        <f t="shared" si="22"/>
        <v>3.5175462432360818E-2</v>
      </c>
    </row>
    <row r="26" spans="6:68" ht="15" customHeight="1">
      <c r="R26" s="246"/>
      <c r="S26" s="193"/>
      <c r="T26" s="193"/>
      <c r="U26" s="193"/>
      <c r="V26" s="193"/>
      <c r="W26" s="14">
        <f t="shared" si="0"/>
        <v>0</v>
      </c>
      <c r="X26" s="195"/>
      <c r="Y26" s="193"/>
      <c r="Z26" s="193"/>
      <c r="AA26" s="193"/>
      <c r="AB26" s="193"/>
      <c r="AC26" s="190"/>
      <c r="AD26" s="190"/>
      <c r="AE26" s="190"/>
      <c r="AF26" s="187"/>
      <c r="AG26" s="187"/>
      <c r="AH26" s="16">
        <f t="shared" si="1"/>
        <v>0</v>
      </c>
      <c r="AI26" s="15">
        <f t="shared" si="2"/>
        <v>0</v>
      </c>
      <c r="AJ26" s="17">
        <f t="shared" si="3"/>
        <v>0</v>
      </c>
      <c r="AK26" s="16">
        <f t="shared" si="4"/>
        <v>0</v>
      </c>
      <c r="AL26" s="16">
        <f t="shared" ref="AL26:AL45" si="24">AH26*X26</f>
        <v>0</v>
      </c>
      <c r="AM26" s="84">
        <f t="shared" si="23"/>
        <v>0</v>
      </c>
      <c r="AN26" s="17">
        <f t="shared" si="6"/>
        <v>0</v>
      </c>
      <c r="AO26" s="83">
        <f t="shared" si="7"/>
        <v>0</v>
      </c>
      <c r="AP26" s="25"/>
      <c r="AQ26" s="58"/>
      <c r="AR26" s="58"/>
      <c r="AS26" s="58"/>
      <c r="AV26" s="32"/>
      <c r="AY26" s="14">
        <f t="shared" si="8"/>
        <v>0</v>
      </c>
      <c r="AZ26" s="14">
        <f t="shared" si="9"/>
        <v>0</v>
      </c>
      <c r="BB26" s="52">
        <f t="shared" si="10"/>
        <v>7.0000000000000001E-3</v>
      </c>
      <c r="BC26" s="53">
        <f t="shared" si="11"/>
        <v>0</v>
      </c>
      <c r="BD26" s="54">
        <f t="shared" si="12"/>
        <v>0</v>
      </c>
      <c r="BE26" s="55">
        <v>0.1</v>
      </c>
      <c r="BF26" s="56" t="e">
        <f t="shared" ref="BF26:BF45" si="25">(-2*LOG(((BB26/BC26)/3.71)+(2.51/(BD26*(BE26)^0.5))))^(-2)</f>
        <v>#DIV/0!</v>
      </c>
      <c r="BG26" s="56" t="e">
        <f t="shared" ref="BG26:BG45" si="26">(-2*LOG(((BB26/BC26)/3.71)+(2.51/(BD26*(BF26)^0.5))))^(-2)</f>
        <v>#DIV/0!</v>
      </c>
      <c r="BH26" s="56" t="e">
        <f t="shared" ref="BH26:BH45" si="27">(-2*LOG(((BB26/BC26)/3.71)+(2.51/(BD26*(BG26)^0.5))))^(-2)</f>
        <v>#DIV/0!</v>
      </c>
      <c r="BI26" s="56" t="e">
        <f t="shared" ref="BI26:BI45" si="28">(-2*LOG(((BB26/BC26)/3.71)+(2.51/(BD26*(BH26)^0.5))))^(-2)</f>
        <v>#DIV/0!</v>
      </c>
      <c r="BJ26" s="56" t="e">
        <f t="shared" ref="BJ26:BJ45" si="29">(-2*LOG(((BB26/BC26)/3.71)+(2.51/(BD26*(BI26)^0.5))))^(-2)</f>
        <v>#DIV/0!</v>
      </c>
      <c r="BK26" s="56" t="e">
        <f t="shared" ref="BK26:BK45" si="30">(-2*LOG(((BB26/BC26)/3.71)+(2.51/(BD26*(BJ26)^0.5))))^(-2)</f>
        <v>#DIV/0!</v>
      </c>
      <c r="BL26" s="56" t="e">
        <f t="shared" ref="BL26:BL45" si="31">(-2*LOG(((BB26/BC26)/3.71)+(2.51/(BD26*(BK26)^0.5))))^(-2)</f>
        <v>#DIV/0!</v>
      </c>
      <c r="BM26" s="56" t="e">
        <f t="shared" ref="BM26:BM45" si="32">(-2*LOG(((BB26/BC26)/3.71)+(2.51/(BD26*(BL26)^0.5))))^(-2)</f>
        <v>#DIV/0!</v>
      </c>
      <c r="BN26" s="56" t="e">
        <f t="shared" ref="BN26:BN45" si="33">(-2*LOG(((BB26/BC26)/3.71)+(2.51/(BD26*(BM26)^0.5))))^(-2)</f>
        <v>#DIV/0!</v>
      </c>
      <c r="BO26" s="57" t="e">
        <f t="shared" ref="BO26:BO45" si="34">(-2*LOG(((BB26/BC26)/3.71)+(2.51/(BD26*(BN26)^0.5))))^(-2)</f>
        <v>#DIV/0!</v>
      </c>
    </row>
    <row r="27" spans="6:68" ht="15" customHeight="1">
      <c r="R27" s="247"/>
      <c r="S27" s="190"/>
      <c r="T27" s="190"/>
      <c r="U27" s="190"/>
      <c r="V27" s="190"/>
      <c r="W27" s="14">
        <f t="shared" si="0"/>
        <v>0</v>
      </c>
      <c r="X27" s="192"/>
      <c r="Y27" s="190"/>
      <c r="Z27" s="190"/>
      <c r="AA27" s="190"/>
      <c r="AB27" s="190"/>
      <c r="AC27" s="190"/>
      <c r="AD27" s="190"/>
      <c r="AE27" s="190"/>
      <c r="AF27" s="187"/>
      <c r="AG27" s="187"/>
      <c r="AH27" s="16">
        <f t="shared" si="1"/>
        <v>0</v>
      </c>
      <c r="AI27" s="15">
        <f t="shared" si="2"/>
        <v>0</v>
      </c>
      <c r="AJ27" s="17">
        <f t="shared" si="3"/>
        <v>0</v>
      </c>
      <c r="AK27" s="16">
        <f t="shared" si="4"/>
        <v>0</v>
      </c>
      <c r="AL27" s="16">
        <f t="shared" si="24"/>
        <v>0</v>
      </c>
      <c r="AM27" s="84">
        <f t="shared" si="23"/>
        <v>0</v>
      </c>
      <c r="AN27" s="17">
        <f t="shared" si="6"/>
        <v>0</v>
      </c>
      <c r="AO27" s="83">
        <f t="shared" si="7"/>
        <v>0</v>
      </c>
      <c r="AP27" s="25"/>
      <c r="AY27" s="14">
        <f t="shared" si="8"/>
        <v>0</v>
      </c>
      <c r="AZ27" s="14">
        <f t="shared" si="9"/>
        <v>0</v>
      </c>
      <c r="BB27" s="52">
        <f t="shared" si="10"/>
        <v>7.0000000000000001E-3</v>
      </c>
      <c r="BC27" s="53">
        <f t="shared" si="11"/>
        <v>0</v>
      </c>
      <c r="BD27" s="54">
        <f t="shared" si="12"/>
        <v>0</v>
      </c>
      <c r="BE27" s="55">
        <v>0.1</v>
      </c>
      <c r="BF27" s="56" t="e">
        <f t="shared" si="25"/>
        <v>#DIV/0!</v>
      </c>
      <c r="BG27" s="56" t="e">
        <f t="shared" si="26"/>
        <v>#DIV/0!</v>
      </c>
      <c r="BH27" s="56" t="e">
        <f t="shared" si="27"/>
        <v>#DIV/0!</v>
      </c>
      <c r="BI27" s="56" t="e">
        <f t="shared" si="28"/>
        <v>#DIV/0!</v>
      </c>
      <c r="BJ27" s="56" t="e">
        <f t="shared" si="29"/>
        <v>#DIV/0!</v>
      </c>
      <c r="BK27" s="56" t="e">
        <f t="shared" si="30"/>
        <v>#DIV/0!</v>
      </c>
      <c r="BL27" s="56" t="e">
        <f t="shared" si="31"/>
        <v>#DIV/0!</v>
      </c>
      <c r="BM27" s="56" t="e">
        <f t="shared" si="32"/>
        <v>#DIV/0!</v>
      </c>
      <c r="BN27" s="56" t="e">
        <f t="shared" si="33"/>
        <v>#DIV/0!</v>
      </c>
      <c r="BO27" s="57" t="e">
        <f t="shared" si="34"/>
        <v>#DIV/0!</v>
      </c>
    </row>
    <row r="28" spans="6:68" ht="15" customHeight="1">
      <c r="R28" s="246"/>
      <c r="S28" s="193"/>
      <c r="T28" s="193"/>
      <c r="U28" s="193"/>
      <c r="V28" s="193"/>
      <c r="W28" s="14">
        <f t="shared" si="0"/>
        <v>0</v>
      </c>
      <c r="X28" s="195"/>
      <c r="Y28" s="193"/>
      <c r="Z28" s="193"/>
      <c r="AA28" s="193"/>
      <c r="AB28" s="193"/>
      <c r="AC28" s="190"/>
      <c r="AD28" s="190"/>
      <c r="AE28" s="190"/>
      <c r="AF28" s="187"/>
      <c r="AG28" s="187"/>
      <c r="AH28" s="16">
        <f t="shared" si="1"/>
        <v>0</v>
      </c>
      <c r="AI28" s="15">
        <f t="shared" si="2"/>
        <v>0</v>
      </c>
      <c r="AJ28" s="17">
        <f t="shared" si="3"/>
        <v>0</v>
      </c>
      <c r="AK28" s="16">
        <f t="shared" si="4"/>
        <v>0</v>
      </c>
      <c r="AL28" s="16">
        <f t="shared" si="24"/>
        <v>0</v>
      </c>
      <c r="AM28" s="84">
        <f t="shared" si="23"/>
        <v>0</v>
      </c>
      <c r="AN28" s="17">
        <f t="shared" si="6"/>
        <v>0</v>
      </c>
      <c r="AO28" s="83">
        <f t="shared" si="7"/>
        <v>0</v>
      </c>
      <c r="AP28" s="25"/>
      <c r="AQ28" s="59"/>
      <c r="AR28" s="59"/>
      <c r="AS28" s="59"/>
      <c r="AY28" s="14">
        <f t="shared" si="8"/>
        <v>0</v>
      </c>
      <c r="AZ28" s="14">
        <f t="shared" si="9"/>
        <v>0</v>
      </c>
      <c r="BB28" s="52">
        <f t="shared" si="10"/>
        <v>7.0000000000000001E-3</v>
      </c>
      <c r="BC28" s="53">
        <f t="shared" si="11"/>
        <v>0</v>
      </c>
      <c r="BD28" s="54">
        <f t="shared" si="12"/>
        <v>0</v>
      </c>
      <c r="BE28" s="55">
        <v>0.1</v>
      </c>
      <c r="BF28" s="56" t="e">
        <f t="shared" si="25"/>
        <v>#DIV/0!</v>
      </c>
      <c r="BG28" s="56" t="e">
        <f t="shared" si="26"/>
        <v>#DIV/0!</v>
      </c>
      <c r="BH28" s="56" t="e">
        <f t="shared" si="27"/>
        <v>#DIV/0!</v>
      </c>
      <c r="BI28" s="56" t="e">
        <f t="shared" si="28"/>
        <v>#DIV/0!</v>
      </c>
      <c r="BJ28" s="56" t="e">
        <f t="shared" si="29"/>
        <v>#DIV/0!</v>
      </c>
      <c r="BK28" s="56" t="e">
        <f t="shared" si="30"/>
        <v>#DIV/0!</v>
      </c>
      <c r="BL28" s="56" t="e">
        <f t="shared" si="31"/>
        <v>#DIV/0!</v>
      </c>
      <c r="BM28" s="56" t="e">
        <f t="shared" si="32"/>
        <v>#DIV/0!</v>
      </c>
      <c r="BN28" s="56" t="e">
        <f t="shared" si="33"/>
        <v>#DIV/0!</v>
      </c>
      <c r="BO28" s="57" t="e">
        <f t="shared" si="34"/>
        <v>#DIV/0!</v>
      </c>
    </row>
    <row r="29" spans="6:68" ht="15" customHeight="1">
      <c r="R29" s="247"/>
      <c r="S29" s="190"/>
      <c r="T29" s="190"/>
      <c r="U29" s="190"/>
      <c r="V29" s="190"/>
      <c r="W29" s="14">
        <f t="shared" si="0"/>
        <v>0</v>
      </c>
      <c r="X29" s="192"/>
      <c r="Y29" s="190"/>
      <c r="Z29" s="190"/>
      <c r="AA29" s="190"/>
      <c r="AB29" s="190"/>
      <c r="AC29" s="190"/>
      <c r="AD29" s="190"/>
      <c r="AE29" s="190"/>
      <c r="AF29" s="187"/>
      <c r="AG29" s="187"/>
      <c r="AH29" s="16">
        <f t="shared" si="1"/>
        <v>0</v>
      </c>
      <c r="AI29" s="15">
        <f t="shared" si="2"/>
        <v>0</v>
      </c>
      <c r="AJ29" s="17">
        <f t="shared" si="3"/>
        <v>0</v>
      </c>
      <c r="AK29" s="16">
        <f t="shared" si="4"/>
        <v>0</v>
      </c>
      <c r="AL29" s="16">
        <f>AH29*X29</f>
        <v>0</v>
      </c>
      <c r="AM29" s="84">
        <f t="shared" si="23"/>
        <v>0</v>
      </c>
      <c r="AN29" s="17">
        <f t="shared" si="6"/>
        <v>0</v>
      </c>
      <c r="AO29" s="83">
        <f t="shared" si="7"/>
        <v>0</v>
      </c>
      <c r="AP29" s="25"/>
      <c r="AY29" s="14">
        <f t="shared" si="8"/>
        <v>0</v>
      </c>
      <c r="AZ29" s="14">
        <f t="shared" si="9"/>
        <v>0</v>
      </c>
      <c r="BB29" s="52">
        <f t="shared" si="10"/>
        <v>7.0000000000000001E-3</v>
      </c>
      <c r="BC29" s="53">
        <f t="shared" si="11"/>
        <v>0</v>
      </c>
      <c r="BD29" s="54">
        <f t="shared" si="12"/>
        <v>0</v>
      </c>
      <c r="BE29" s="55">
        <v>0.1</v>
      </c>
      <c r="BF29" s="56" t="e">
        <f t="shared" si="25"/>
        <v>#DIV/0!</v>
      </c>
      <c r="BG29" s="56" t="e">
        <f t="shared" si="26"/>
        <v>#DIV/0!</v>
      </c>
      <c r="BH29" s="56" t="e">
        <f t="shared" si="27"/>
        <v>#DIV/0!</v>
      </c>
      <c r="BI29" s="56" t="e">
        <f t="shared" si="28"/>
        <v>#DIV/0!</v>
      </c>
      <c r="BJ29" s="56" t="e">
        <f t="shared" si="29"/>
        <v>#DIV/0!</v>
      </c>
      <c r="BK29" s="56" t="e">
        <f t="shared" si="30"/>
        <v>#DIV/0!</v>
      </c>
      <c r="BL29" s="56" t="e">
        <f t="shared" si="31"/>
        <v>#DIV/0!</v>
      </c>
      <c r="BM29" s="56" t="e">
        <f t="shared" si="32"/>
        <v>#DIV/0!</v>
      </c>
      <c r="BN29" s="56" t="e">
        <f t="shared" si="33"/>
        <v>#DIV/0!</v>
      </c>
      <c r="BO29" s="57" t="e">
        <f t="shared" si="34"/>
        <v>#DIV/0!</v>
      </c>
    </row>
    <row r="30" spans="6:68" ht="15" customHeight="1">
      <c r="R30" s="247"/>
      <c r="S30" s="190"/>
      <c r="T30" s="190"/>
      <c r="U30" s="190"/>
      <c r="V30" s="190"/>
      <c r="W30" s="14">
        <f t="shared" si="0"/>
        <v>0</v>
      </c>
      <c r="X30" s="192"/>
      <c r="Y30" s="190"/>
      <c r="Z30" s="190"/>
      <c r="AA30" s="190"/>
      <c r="AB30" s="190"/>
      <c r="AC30" s="190"/>
      <c r="AD30" s="190"/>
      <c r="AE30" s="190"/>
      <c r="AF30" s="187"/>
      <c r="AG30" s="187"/>
      <c r="AH30" s="16">
        <f t="shared" si="1"/>
        <v>0</v>
      </c>
      <c r="AI30" s="15">
        <f t="shared" si="2"/>
        <v>0</v>
      </c>
      <c r="AJ30" s="17">
        <f t="shared" si="3"/>
        <v>0</v>
      </c>
      <c r="AK30" s="16">
        <f t="shared" si="4"/>
        <v>0</v>
      </c>
      <c r="AL30" s="16">
        <f>AH30*X30</f>
        <v>0</v>
      </c>
      <c r="AM30" s="84">
        <f t="shared" si="23"/>
        <v>0</v>
      </c>
      <c r="AN30" s="17">
        <f t="shared" si="6"/>
        <v>0</v>
      </c>
      <c r="AO30" s="83">
        <f t="shared" si="7"/>
        <v>0</v>
      </c>
      <c r="AP30" s="25"/>
      <c r="AY30" s="14">
        <f t="shared" si="8"/>
        <v>0</v>
      </c>
      <c r="AZ30" s="14">
        <f t="shared" si="9"/>
        <v>0</v>
      </c>
      <c r="BB30" s="52">
        <f t="shared" si="10"/>
        <v>7.0000000000000001E-3</v>
      </c>
      <c r="BC30" s="53">
        <f t="shared" si="11"/>
        <v>0</v>
      </c>
      <c r="BD30" s="54">
        <f t="shared" si="12"/>
        <v>0</v>
      </c>
      <c r="BE30" s="55">
        <v>0.1</v>
      </c>
      <c r="BF30" s="56" t="e">
        <f t="shared" si="25"/>
        <v>#DIV/0!</v>
      </c>
      <c r="BG30" s="56" t="e">
        <f t="shared" si="26"/>
        <v>#DIV/0!</v>
      </c>
      <c r="BH30" s="56" t="e">
        <f t="shared" si="27"/>
        <v>#DIV/0!</v>
      </c>
      <c r="BI30" s="56" t="e">
        <f t="shared" si="28"/>
        <v>#DIV/0!</v>
      </c>
      <c r="BJ30" s="56" t="e">
        <f t="shared" si="29"/>
        <v>#DIV/0!</v>
      </c>
      <c r="BK30" s="56" t="e">
        <f t="shared" si="30"/>
        <v>#DIV/0!</v>
      </c>
      <c r="BL30" s="56" t="e">
        <f t="shared" si="31"/>
        <v>#DIV/0!</v>
      </c>
      <c r="BM30" s="56" t="e">
        <f t="shared" si="32"/>
        <v>#DIV/0!</v>
      </c>
      <c r="BN30" s="56" t="e">
        <f t="shared" si="33"/>
        <v>#DIV/0!</v>
      </c>
      <c r="BO30" s="57" t="e">
        <f t="shared" si="34"/>
        <v>#DIV/0!</v>
      </c>
    </row>
    <row r="31" spans="6:68" ht="15" customHeight="1">
      <c r="R31" s="247"/>
      <c r="S31" s="190"/>
      <c r="T31" s="190"/>
      <c r="U31" s="190"/>
      <c r="V31" s="190"/>
      <c r="W31" s="14">
        <f t="shared" si="0"/>
        <v>0</v>
      </c>
      <c r="X31" s="192"/>
      <c r="Y31" s="190"/>
      <c r="Z31" s="190"/>
      <c r="AA31" s="190"/>
      <c r="AB31" s="190"/>
      <c r="AC31" s="190"/>
      <c r="AD31" s="190"/>
      <c r="AE31" s="190"/>
      <c r="AF31" s="187"/>
      <c r="AG31" s="187"/>
      <c r="AH31" s="16">
        <f t="shared" si="1"/>
        <v>0</v>
      </c>
      <c r="AI31" s="15">
        <f t="shared" si="2"/>
        <v>0</v>
      </c>
      <c r="AJ31" s="17">
        <f t="shared" si="3"/>
        <v>0</v>
      </c>
      <c r="AK31" s="16">
        <f t="shared" si="4"/>
        <v>0</v>
      </c>
      <c r="AL31" s="16">
        <f t="shared" si="24"/>
        <v>0</v>
      </c>
      <c r="AM31" s="84">
        <f t="shared" si="23"/>
        <v>0</v>
      </c>
      <c r="AN31" s="17">
        <f t="shared" si="6"/>
        <v>0</v>
      </c>
      <c r="AO31" s="83">
        <f t="shared" si="7"/>
        <v>0</v>
      </c>
      <c r="AP31" s="25"/>
      <c r="AY31" s="14">
        <f t="shared" si="8"/>
        <v>0</v>
      </c>
      <c r="AZ31" s="14">
        <f t="shared" si="9"/>
        <v>0</v>
      </c>
      <c r="BB31" s="52">
        <f t="shared" si="10"/>
        <v>7.0000000000000001E-3</v>
      </c>
      <c r="BC31" s="53">
        <f t="shared" si="11"/>
        <v>0</v>
      </c>
      <c r="BD31" s="54">
        <f t="shared" si="12"/>
        <v>0</v>
      </c>
      <c r="BE31" s="55">
        <v>0.1</v>
      </c>
      <c r="BF31" s="56" t="e">
        <f t="shared" si="25"/>
        <v>#DIV/0!</v>
      </c>
      <c r="BG31" s="56" t="e">
        <f t="shared" si="26"/>
        <v>#DIV/0!</v>
      </c>
      <c r="BH31" s="56" t="e">
        <f t="shared" si="27"/>
        <v>#DIV/0!</v>
      </c>
      <c r="BI31" s="56" t="e">
        <f t="shared" si="28"/>
        <v>#DIV/0!</v>
      </c>
      <c r="BJ31" s="56" t="e">
        <f t="shared" si="29"/>
        <v>#DIV/0!</v>
      </c>
      <c r="BK31" s="56" t="e">
        <f t="shared" si="30"/>
        <v>#DIV/0!</v>
      </c>
      <c r="BL31" s="56" t="e">
        <f t="shared" si="31"/>
        <v>#DIV/0!</v>
      </c>
      <c r="BM31" s="56" t="e">
        <f t="shared" si="32"/>
        <v>#DIV/0!</v>
      </c>
      <c r="BN31" s="56" t="e">
        <f t="shared" si="33"/>
        <v>#DIV/0!</v>
      </c>
      <c r="BO31" s="57" t="e">
        <f t="shared" si="34"/>
        <v>#DIV/0!</v>
      </c>
    </row>
    <row r="32" spans="6:68" ht="15" customHeight="1">
      <c r="R32" s="247"/>
      <c r="S32" s="190"/>
      <c r="T32" s="190"/>
      <c r="U32" s="190"/>
      <c r="V32" s="190"/>
      <c r="W32" s="14">
        <f t="shared" si="0"/>
        <v>0</v>
      </c>
      <c r="X32" s="192"/>
      <c r="Y32" s="190"/>
      <c r="Z32" s="190"/>
      <c r="AA32" s="190"/>
      <c r="AB32" s="190"/>
      <c r="AC32" s="190"/>
      <c r="AD32" s="190"/>
      <c r="AE32" s="190"/>
      <c r="AF32" s="187"/>
      <c r="AG32" s="187"/>
      <c r="AH32" s="16">
        <f t="shared" si="1"/>
        <v>0</v>
      </c>
      <c r="AI32" s="15">
        <f t="shared" si="2"/>
        <v>0</v>
      </c>
      <c r="AJ32" s="17">
        <f t="shared" si="3"/>
        <v>0</v>
      </c>
      <c r="AK32" s="16">
        <f t="shared" si="4"/>
        <v>0</v>
      </c>
      <c r="AL32" s="16">
        <f t="shared" si="24"/>
        <v>0</v>
      </c>
      <c r="AM32" s="84">
        <f t="shared" si="23"/>
        <v>0</v>
      </c>
      <c r="AN32" s="17">
        <f t="shared" si="6"/>
        <v>0</v>
      </c>
      <c r="AO32" s="83">
        <f t="shared" si="7"/>
        <v>0</v>
      </c>
      <c r="AP32" s="25"/>
      <c r="AY32" s="14">
        <f t="shared" si="8"/>
        <v>0</v>
      </c>
      <c r="AZ32" s="14">
        <f t="shared" si="9"/>
        <v>0</v>
      </c>
      <c r="BB32" s="52">
        <f t="shared" si="10"/>
        <v>7.0000000000000001E-3</v>
      </c>
      <c r="BC32" s="53">
        <f t="shared" si="11"/>
        <v>0</v>
      </c>
      <c r="BD32" s="54">
        <f t="shared" si="12"/>
        <v>0</v>
      </c>
      <c r="BE32" s="55">
        <v>0.1</v>
      </c>
      <c r="BF32" s="56" t="e">
        <f t="shared" si="25"/>
        <v>#DIV/0!</v>
      </c>
      <c r="BG32" s="56" t="e">
        <f t="shared" si="26"/>
        <v>#DIV/0!</v>
      </c>
      <c r="BH32" s="56" t="e">
        <f t="shared" si="27"/>
        <v>#DIV/0!</v>
      </c>
      <c r="BI32" s="56" t="e">
        <f t="shared" si="28"/>
        <v>#DIV/0!</v>
      </c>
      <c r="BJ32" s="56" t="e">
        <f t="shared" si="29"/>
        <v>#DIV/0!</v>
      </c>
      <c r="BK32" s="56" t="e">
        <f t="shared" si="30"/>
        <v>#DIV/0!</v>
      </c>
      <c r="BL32" s="56" t="e">
        <f t="shared" si="31"/>
        <v>#DIV/0!</v>
      </c>
      <c r="BM32" s="56" t="e">
        <f t="shared" si="32"/>
        <v>#DIV/0!</v>
      </c>
      <c r="BN32" s="56" t="e">
        <f t="shared" si="33"/>
        <v>#DIV/0!</v>
      </c>
      <c r="BO32" s="57" t="e">
        <f t="shared" si="34"/>
        <v>#DIV/0!</v>
      </c>
    </row>
    <row r="33" spans="18:67" ht="15" customHeight="1">
      <c r="R33" s="247"/>
      <c r="S33" s="190"/>
      <c r="T33" s="190"/>
      <c r="U33" s="190"/>
      <c r="V33" s="190"/>
      <c r="W33" s="14">
        <f t="shared" ref="W33:W44" si="35">IF(OR(V34=0,V33=0),V33,V33+W34)</f>
        <v>0</v>
      </c>
      <c r="X33" s="192"/>
      <c r="Y33" s="190"/>
      <c r="Z33" s="190"/>
      <c r="AA33" s="190"/>
      <c r="AB33" s="190"/>
      <c r="AC33" s="190"/>
      <c r="AD33" s="190"/>
      <c r="AE33" s="190"/>
      <c r="AF33" s="187"/>
      <c r="AG33" s="187"/>
      <c r="AH33" s="16">
        <f t="shared" si="1"/>
        <v>0</v>
      </c>
      <c r="AI33" s="15">
        <f t="shared" si="2"/>
        <v>0</v>
      </c>
      <c r="AJ33" s="17">
        <f t="shared" si="3"/>
        <v>0</v>
      </c>
      <c r="AK33" s="16">
        <f t="shared" si="4"/>
        <v>0</v>
      </c>
      <c r="AL33" s="16">
        <f t="shared" si="24"/>
        <v>0</v>
      </c>
      <c r="AM33" s="84">
        <f t="shared" si="23"/>
        <v>0</v>
      </c>
      <c r="AN33" s="17">
        <f t="shared" si="6"/>
        <v>0</v>
      </c>
      <c r="AO33" s="83">
        <f t="shared" si="7"/>
        <v>0</v>
      </c>
      <c r="AP33" s="25"/>
      <c r="AY33" s="14">
        <f t="shared" si="8"/>
        <v>0</v>
      </c>
      <c r="AZ33" s="14">
        <f t="shared" si="9"/>
        <v>0</v>
      </c>
      <c r="BB33" s="52">
        <f t="shared" si="10"/>
        <v>7.0000000000000001E-3</v>
      </c>
      <c r="BC33" s="53">
        <f t="shared" si="11"/>
        <v>0</v>
      </c>
      <c r="BD33" s="54">
        <f t="shared" si="12"/>
        <v>0</v>
      </c>
      <c r="BE33" s="55">
        <v>0.1</v>
      </c>
      <c r="BF33" s="56" t="e">
        <f t="shared" si="25"/>
        <v>#DIV/0!</v>
      </c>
      <c r="BG33" s="56" t="e">
        <f t="shared" si="26"/>
        <v>#DIV/0!</v>
      </c>
      <c r="BH33" s="56" t="e">
        <f t="shared" si="27"/>
        <v>#DIV/0!</v>
      </c>
      <c r="BI33" s="56" t="e">
        <f t="shared" si="28"/>
        <v>#DIV/0!</v>
      </c>
      <c r="BJ33" s="56" t="e">
        <f t="shared" si="29"/>
        <v>#DIV/0!</v>
      </c>
      <c r="BK33" s="56" t="e">
        <f t="shared" si="30"/>
        <v>#DIV/0!</v>
      </c>
      <c r="BL33" s="56" t="e">
        <f t="shared" si="31"/>
        <v>#DIV/0!</v>
      </c>
      <c r="BM33" s="56" t="e">
        <f t="shared" si="32"/>
        <v>#DIV/0!</v>
      </c>
      <c r="BN33" s="56" t="e">
        <f t="shared" si="33"/>
        <v>#DIV/0!</v>
      </c>
      <c r="BO33" s="57" t="e">
        <f t="shared" si="34"/>
        <v>#DIV/0!</v>
      </c>
    </row>
    <row r="34" spans="18:67" ht="15" customHeight="1">
      <c r="R34" s="247"/>
      <c r="S34" s="190"/>
      <c r="T34" s="190"/>
      <c r="U34" s="190"/>
      <c r="V34" s="190"/>
      <c r="W34" s="14">
        <f t="shared" si="35"/>
        <v>0</v>
      </c>
      <c r="X34" s="192"/>
      <c r="Y34" s="190"/>
      <c r="Z34" s="190"/>
      <c r="AA34" s="190"/>
      <c r="AB34" s="190"/>
      <c r="AC34" s="190"/>
      <c r="AD34" s="190"/>
      <c r="AE34" s="190"/>
      <c r="AF34" s="187"/>
      <c r="AG34" s="187"/>
      <c r="AH34" s="16">
        <f t="shared" si="1"/>
        <v>0</v>
      </c>
      <c r="AI34" s="15">
        <f t="shared" si="2"/>
        <v>0</v>
      </c>
      <c r="AJ34" s="17">
        <f t="shared" si="3"/>
        <v>0</v>
      </c>
      <c r="AK34" s="16">
        <f t="shared" si="4"/>
        <v>0</v>
      </c>
      <c r="AL34" s="16">
        <f t="shared" si="24"/>
        <v>0</v>
      </c>
      <c r="AM34" s="84">
        <f t="shared" si="23"/>
        <v>0</v>
      </c>
      <c r="AN34" s="17">
        <f t="shared" si="6"/>
        <v>0</v>
      </c>
      <c r="AO34" s="83">
        <f t="shared" si="7"/>
        <v>0</v>
      </c>
      <c r="AP34" s="25"/>
      <c r="AY34" s="14">
        <f t="shared" si="8"/>
        <v>0</v>
      </c>
      <c r="AZ34" s="14">
        <f t="shared" si="9"/>
        <v>0</v>
      </c>
      <c r="BB34" s="52">
        <f t="shared" si="10"/>
        <v>7.0000000000000001E-3</v>
      </c>
      <c r="BC34" s="53">
        <f t="shared" si="11"/>
        <v>0</v>
      </c>
      <c r="BD34" s="54">
        <f t="shared" si="12"/>
        <v>0</v>
      </c>
      <c r="BE34" s="55">
        <v>0.1</v>
      </c>
      <c r="BF34" s="56" t="e">
        <f t="shared" si="25"/>
        <v>#DIV/0!</v>
      </c>
      <c r="BG34" s="56" t="e">
        <f t="shared" si="26"/>
        <v>#DIV/0!</v>
      </c>
      <c r="BH34" s="56" t="e">
        <f t="shared" si="27"/>
        <v>#DIV/0!</v>
      </c>
      <c r="BI34" s="56" t="e">
        <f t="shared" si="28"/>
        <v>#DIV/0!</v>
      </c>
      <c r="BJ34" s="56" t="e">
        <f t="shared" si="29"/>
        <v>#DIV/0!</v>
      </c>
      <c r="BK34" s="56" t="e">
        <f t="shared" si="30"/>
        <v>#DIV/0!</v>
      </c>
      <c r="BL34" s="56" t="e">
        <f t="shared" si="31"/>
        <v>#DIV/0!</v>
      </c>
      <c r="BM34" s="56" t="e">
        <f t="shared" si="32"/>
        <v>#DIV/0!</v>
      </c>
      <c r="BN34" s="56" t="e">
        <f t="shared" si="33"/>
        <v>#DIV/0!</v>
      </c>
      <c r="BO34" s="57" t="e">
        <f t="shared" si="34"/>
        <v>#DIV/0!</v>
      </c>
    </row>
    <row r="35" spans="18:67" ht="15" customHeight="1">
      <c r="R35" s="247"/>
      <c r="S35" s="190"/>
      <c r="T35" s="190"/>
      <c r="U35" s="190"/>
      <c r="V35" s="190"/>
      <c r="W35" s="14">
        <f t="shared" si="35"/>
        <v>0</v>
      </c>
      <c r="X35" s="192"/>
      <c r="Y35" s="190"/>
      <c r="Z35" s="190"/>
      <c r="AA35" s="190"/>
      <c r="AB35" s="190"/>
      <c r="AC35" s="190"/>
      <c r="AD35" s="190"/>
      <c r="AE35" s="190"/>
      <c r="AF35" s="187"/>
      <c r="AG35" s="187"/>
      <c r="AH35" s="16">
        <f t="shared" si="1"/>
        <v>0</v>
      </c>
      <c r="AI35" s="15">
        <f t="shared" si="2"/>
        <v>0</v>
      </c>
      <c r="AJ35" s="17">
        <f t="shared" si="3"/>
        <v>0</v>
      </c>
      <c r="AK35" s="16">
        <f t="shared" si="4"/>
        <v>0</v>
      </c>
      <c r="AL35" s="16">
        <f t="shared" si="24"/>
        <v>0</v>
      </c>
      <c r="AM35" s="84">
        <f t="shared" si="23"/>
        <v>0</v>
      </c>
      <c r="AN35" s="17">
        <f t="shared" si="6"/>
        <v>0</v>
      </c>
      <c r="AO35" s="83">
        <f t="shared" si="7"/>
        <v>0</v>
      </c>
      <c r="AP35" s="25"/>
      <c r="AY35" s="14">
        <f t="shared" si="8"/>
        <v>0</v>
      </c>
      <c r="AZ35" s="14">
        <f t="shared" si="9"/>
        <v>0</v>
      </c>
      <c r="BB35" s="52">
        <f t="shared" si="10"/>
        <v>7.0000000000000001E-3</v>
      </c>
      <c r="BC35" s="53">
        <f t="shared" si="11"/>
        <v>0</v>
      </c>
      <c r="BD35" s="54">
        <f t="shared" si="12"/>
        <v>0</v>
      </c>
      <c r="BE35" s="55">
        <v>0.1</v>
      </c>
      <c r="BF35" s="56" t="e">
        <f t="shared" si="25"/>
        <v>#DIV/0!</v>
      </c>
      <c r="BG35" s="56" t="e">
        <f t="shared" si="26"/>
        <v>#DIV/0!</v>
      </c>
      <c r="BH35" s="56" t="e">
        <f t="shared" si="27"/>
        <v>#DIV/0!</v>
      </c>
      <c r="BI35" s="56" t="e">
        <f t="shared" si="28"/>
        <v>#DIV/0!</v>
      </c>
      <c r="BJ35" s="56" t="e">
        <f t="shared" si="29"/>
        <v>#DIV/0!</v>
      </c>
      <c r="BK35" s="56" t="e">
        <f t="shared" si="30"/>
        <v>#DIV/0!</v>
      </c>
      <c r="BL35" s="56" t="e">
        <f t="shared" si="31"/>
        <v>#DIV/0!</v>
      </c>
      <c r="BM35" s="56" t="e">
        <f t="shared" si="32"/>
        <v>#DIV/0!</v>
      </c>
      <c r="BN35" s="56" t="e">
        <f t="shared" si="33"/>
        <v>#DIV/0!</v>
      </c>
      <c r="BO35" s="57" t="e">
        <f t="shared" si="34"/>
        <v>#DIV/0!</v>
      </c>
    </row>
    <row r="36" spans="18:67" ht="15" customHeight="1">
      <c r="R36" s="247"/>
      <c r="S36" s="190"/>
      <c r="T36" s="190"/>
      <c r="U36" s="190"/>
      <c r="V36" s="190"/>
      <c r="W36" s="14">
        <f t="shared" si="35"/>
        <v>0</v>
      </c>
      <c r="X36" s="192"/>
      <c r="Y36" s="190"/>
      <c r="Z36" s="190"/>
      <c r="AA36" s="190"/>
      <c r="AB36" s="190"/>
      <c r="AC36" s="190"/>
      <c r="AD36" s="190"/>
      <c r="AE36" s="190"/>
      <c r="AF36" s="187"/>
      <c r="AG36" s="187"/>
      <c r="AH36" s="16">
        <f t="shared" si="1"/>
        <v>0</v>
      </c>
      <c r="AI36" s="15">
        <f t="shared" si="2"/>
        <v>0</v>
      </c>
      <c r="AJ36" s="17">
        <f t="shared" si="3"/>
        <v>0</v>
      </c>
      <c r="AK36" s="16">
        <f t="shared" si="4"/>
        <v>0</v>
      </c>
      <c r="AL36" s="16">
        <f t="shared" si="24"/>
        <v>0</v>
      </c>
      <c r="AM36" s="84">
        <f t="shared" si="23"/>
        <v>0</v>
      </c>
      <c r="AN36" s="17">
        <f t="shared" si="6"/>
        <v>0</v>
      </c>
      <c r="AO36" s="83">
        <f t="shared" si="7"/>
        <v>0</v>
      </c>
      <c r="AP36" s="25"/>
      <c r="AY36" s="14">
        <f t="shared" si="8"/>
        <v>0</v>
      </c>
      <c r="AZ36" s="14">
        <f t="shared" si="9"/>
        <v>0</v>
      </c>
      <c r="BB36" s="52">
        <f t="shared" si="10"/>
        <v>7.0000000000000001E-3</v>
      </c>
      <c r="BC36" s="53">
        <f t="shared" si="11"/>
        <v>0</v>
      </c>
      <c r="BD36" s="54">
        <f t="shared" si="12"/>
        <v>0</v>
      </c>
      <c r="BE36" s="55">
        <v>0.1</v>
      </c>
      <c r="BF36" s="56" t="e">
        <f t="shared" si="25"/>
        <v>#DIV/0!</v>
      </c>
      <c r="BG36" s="56" t="e">
        <f t="shared" si="26"/>
        <v>#DIV/0!</v>
      </c>
      <c r="BH36" s="56" t="e">
        <f t="shared" si="27"/>
        <v>#DIV/0!</v>
      </c>
      <c r="BI36" s="56" t="e">
        <f t="shared" si="28"/>
        <v>#DIV/0!</v>
      </c>
      <c r="BJ36" s="56" t="e">
        <f t="shared" si="29"/>
        <v>#DIV/0!</v>
      </c>
      <c r="BK36" s="56" t="e">
        <f t="shared" si="30"/>
        <v>#DIV/0!</v>
      </c>
      <c r="BL36" s="56" t="e">
        <f t="shared" si="31"/>
        <v>#DIV/0!</v>
      </c>
      <c r="BM36" s="56" t="e">
        <f t="shared" si="32"/>
        <v>#DIV/0!</v>
      </c>
      <c r="BN36" s="56" t="e">
        <f t="shared" si="33"/>
        <v>#DIV/0!</v>
      </c>
      <c r="BO36" s="57" t="e">
        <f t="shared" si="34"/>
        <v>#DIV/0!</v>
      </c>
    </row>
    <row r="37" spans="18:67" ht="15" customHeight="1">
      <c r="R37" s="247"/>
      <c r="S37" s="190"/>
      <c r="T37" s="190"/>
      <c r="U37" s="190"/>
      <c r="V37" s="190"/>
      <c r="W37" s="14">
        <f t="shared" si="35"/>
        <v>0</v>
      </c>
      <c r="X37" s="192"/>
      <c r="Y37" s="190"/>
      <c r="Z37" s="190"/>
      <c r="AA37" s="190"/>
      <c r="AB37" s="190"/>
      <c r="AC37" s="190"/>
      <c r="AD37" s="190"/>
      <c r="AE37" s="190"/>
      <c r="AF37" s="187"/>
      <c r="AG37" s="187"/>
      <c r="AH37" s="16">
        <f t="shared" si="1"/>
        <v>0</v>
      </c>
      <c r="AI37" s="15">
        <f t="shared" si="2"/>
        <v>0</v>
      </c>
      <c r="AJ37" s="17">
        <f t="shared" si="3"/>
        <v>0</v>
      </c>
      <c r="AK37" s="16">
        <f t="shared" si="4"/>
        <v>0</v>
      </c>
      <c r="AL37" s="16">
        <f t="shared" si="24"/>
        <v>0</v>
      </c>
      <c r="AM37" s="84">
        <f t="shared" si="23"/>
        <v>0</v>
      </c>
      <c r="AN37" s="17">
        <f t="shared" si="6"/>
        <v>0</v>
      </c>
      <c r="AO37" s="83">
        <f t="shared" si="7"/>
        <v>0</v>
      </c>
      <c r="AP37" s="25"/>
      <c r="AY37" s="14">
        <f t="shared" si="8"/>
        <v>0</v>
      </c>
      <c r="AZ37" s="14">
        <f t="shared" si="9"/>
        <v>0</v>
      </c>
      <c r="BB37" s="52">
        <f t="shared" si="10"/>
        <v>7.0000000000000001E-3</v>
      </c>
      <c r="BC37" s="53">
        <f t="shared" si="11"/>
        <v>0</v>
      </c>
      <c r="BD37" s="54">
        <f t="shared" si="12"/>
        <v>0</v>
      </c>
      <c r="BE37" s="55">
        <v>0.1</v>
      </c>
      <c r="BF37" s="56" t="e">
        <f t="shared" si="25"/>
        <v>#DIV/0!</v>
      </c>
      <c r="BG37" s="56" t="e">
        <f t="shared" si="26"/>
        <v>#DIV/0!</v>
      </c>
      <c r="BH37" s="56" t="e">
        <f t="shared" si="27"/>
        <v>#DIV/0!</v>
      </c>
      <c r="BI37" s="56" t="e">
        <f t="shared" si="28"/>
        <v>#DIV/0!</v>
      </c>
      <c r="BJ37" s="56" t="e">
        <f t="shared" si="29"/>
        <v>#DIV/0!</v>
      </c>
      <c r="BK37" s="56" t="e">
        <f t="shared" si="30"/>
        <v>#DIV/0!</v>
      </c>
      <c r="BL37" s="56" t="e">
        <f t="shared" si="31"/>
        <v>#DIV/0!</v>
      </c>
      <c r="BM37" s="56" t="e">
        <f t="shared" si="32"/>
        <v>#DIV/0!</v>
      </c>
      <c r="BN37" s="56" t="e">
        <f t="shared" si="33"/>
        <v>#DIV/0!</v>
      </c>
      <c r="BO37" s="57" t="e">
        <f t="shared" si="34"/>
        <v>#DIV/0!</v>
      </c>
    </row>
    <row r="38" spans="18:67" ht="15" customHeight="1">
      <c r="R38" s="247"/>
      <c r="S38" s="190"/>
      <c r="T38" s="191"/>
      <c r="U38" s="191"/>
      <c r="V38" s="190"/>
      <c r="W38" s="14">
        <f t="shared" si="35"/>
        <v>0</v>
      </c>
      <c r="X38" s="192"/>
      <c r="Y38" s="190"/>
      <c r="Z38" s="190"/>
      <c r="AA38" s="190"/>
      <c r="AB38" s="190"/>
      <c r="AC38" s="190"/>
      <c r="AD38" s="190"/>
      <c r="AE38" s="190"/>
      <c r="AF38" s="187"/>
      <c r="AG38" s="187"/>
      <c r="AH38" s="16">
        <f t="shared" si="1"/>
        <v>0</v>
      </c>
      <c r="AI38" s="15">
        <f t="shared" si="2"/>
        <v>0</v>
      </c>
      <c r="AJ38" s="17">
        <f t="shared" si="3"/>
        <v>0</v>
      </c>
      <c r="AK38" s="16">
        <f t="shared" si="4"/>
        <v>0</v>
      </c>
      <c r="AL38" s="16">
        <f t="shared" ref="AL38:AL41" si="36">AH38*X38</f>
        <v>0</v>
      </c>
      <c r="AM38" s="84">
        <f t="shared" si="23"/>
        <v>0</v>
      </c>
      <c r="AN38" s="17">
        <f t="shared" si="6"/>
        <v>0</v>
      </c>
      <c r="AO38" s="83">
        <f t="shared" si="7"/>
        <v>0</v>
      </c>
      <c r="AP38" s="25"/>
      <c r="AY38" s="14">
        <f t="shared" si="8"/>
        <v>0</v>
      </c>
      <c r="AZ38" s="14">
        <f t="shared" si="9"/>
        <v>0</v>
      </c>
      <c r="BB38" s="52">
        <f t="shared" si="10"/>
        <v>7.0000000000000001E-3</v>
      </c>
      <c r="BC38" s="53">
        <f t="shared" si="11"/>
        <v>0</v>
      </c>
      <c r="BD38" s="54">
        <f t="shared" si="12"/>
        <v>0</v>
      </c>
      <c r="BE38" s="55">
        <v>0.1</v>
      </c>
      <c r="BF38" s="56" t="e">
        <f t="shared" ref="BF38:BF42" si="37">(-2*LOG(((BB38/BC38)/3.71)+(2.51/(BD38*(BE38)^0.5))))^(-2)</f>
        <v>#DIV/0!</v>
      </c>
      <c r="BG38" s="56" t="e">
        <f t="shared" ref="BG38:BG42" si="38">(-2*LOG(((BB38/BC38)/3.71)+(2.51/(BD38*(BF38)^0.5))))^(-2)</f>
        <v>#DIV/0!</v>
      </c>
      <c r="BH38" s="56" t="e">
        <f t="shared" ref="BH38:BH42" si="39">(-2*LOG(((BB38/BC38)/3.71)+(2.51/(BD38*(BG38)^0.5))))^(-2)</f>
        <v>#DIV/0!</v>
      </c>
      <c r="BI38" s="56" t="e">
        <f t="shared" ref="BI38:BI42" si="40">(-2*LOG(((BB38/BC38)/3.71)+(2.51/(BD38*(BH38)^0.5))))^(-2)</f>
        <v>#DIV/0!</v>
      </c>
      <c r="BJ38" s="56" t="e">
        <f t="shared" ref="BJ38:BJ42" si="41">(-2*LOG(((BB38/BC38)/3.71)+(2.51/(BD38*(BI38)^0.5))))^(-2)</f>
        <v>#DIV/0!</v>
      </c>
      <c r="BK38" s="56" t="e">
        <f t="shared" ref="BK38:BK42" si="42">(-2*LOG(((BB38/BC38)/3.71)+(2.51/(BD38*(BJ38)^0.5))))^(-2)</f>
        <v>#DIV/0!</v>
      </c>
      <c r="BL38" s="56" t="e">
        <f t="shared" ref="BL38:BL42" si="43">(-2*LOG(((BB38/BC38)/3.71)+(2.51/(BD38*(BK38)^0.5))))^(-2)</f>
        <v>#DIV/0!</v>
      </c>
      <c r="BM38" s="56" t="e">
        <f t="shared" ref="BM38:BM42" si="44">(-2*LOG(((BB38/BC38)/3.71)+(2.51/(BD38*(BL38)^0.5))))^(-2)</f>
        <v>#DIV/0!</v>
      </c>
      <c r="BN38" s="56" t="e">
        <f t="shared" ref="BN38:BN42" si="45">(-2*LOG(((BB38/BC38)/3.71)+(2.51/(BD38*(BM38)^0.5))))^(-2)</f>
        <v>#DIV/0!</v>
      </c>
      <c r="BO38" s="57" t="e">
        <f t="shared" ref="BO38:BO42" si="46">(-2*LOG(((BB38/BC38)/3.71)+(2.51/(BD38*(BN38)^0.5))))^(-2)</f>
        <v>#DIV/0!</v>
      </c>
    </row>
    <row r="39" spans="18:67" ht="15" customHeight="1">
      <c r="R39" s="247"/>
      <c r="S39" s="190"/>
      <c r="T39" s="190"/>
      <c r="U39" s="190"/>
      <c r="V39" s="190"/>
      <c r="W39" s="14">
        <f t="shared" si="35"/>
        <v>0</v>
      </c>
      <c r="X39" s="192"/>
      <c r="Y39" s="190"/>
      <c r="Z39" s="190"/>
      <c r="AA39" s="190"/>
      <c r="AB39" s="190"/>
      <c r="AC39" s="190"/>
      <c r="AD39" s="190"/>
      <c r="AE39" s="190"/>
      <c r="AF39" s="187"/>
      <c r="AG39" s="187"/>
      <c r="AH39" s="16">
        <f t="shared" si="1"/>
        <v>0</v>
      </c>
      <c r="AI39" s="15">
        <f t="shared" si="2"/>
        <v>0</v>
      </c>
      <c r="AJ39" s="17">
        <f t="shared" si="3"/>
        <v>0</v>
      </c>
      <c r="AK39" s="16">
        <f t="shared" si="4"/>
        <v>0</v>
      </c>
      <c r="AL39" s="16">
        <f t="shared" si="36"/>
        <v>0</v>
      </c>
      <c r="AM39" s="84">
        <f t="shared" si="23"/>
        <v>0</v>
      </c>
      <c r="AN39" s="17">
        <f t="shared" si="6"/>
        <v>0</v>
      </c>
      <c r="AO39" s="83">
        <f t="shared" si="7"/>
        <v>0</v>
      </c>
      <c r="AP39" s="25"/>
      <c r="AY39" s="14">
        <f t="shared" si="8"/>
        <v>0</v>
      </c>
      <c r="AZ39" s="14">
        <f t="shared" si="9"/>
        <v>0</v>
      </c>
      <c r="BB39" s="52">
        <f t="shared" si="10"/>
        <v>7.0000000000000001E-3</v>
      </c>
      <c r="BC39" s="53">
        <f t="shared" si="11"/>
        <v>0</v>
      </c>
      <c r="BD39" s="54">
        <f t="shared" si="12"/>
        <v>0</v>
      </c>
      <c r="BE39" s="55">
        <v>0.1</v>
      </c>
      <c r="BF39" s="56" t="e">
        <f t="shared" si="37"/>
        <v>#DIV/0!</v>
      </c>
      <c r="BG39" s="56" t="e">
        <f t="shared" si="38"/>
        <v>#DIV/0!</v>
      </c>
      <c r="BH39" s="56" t="e">
        <f t="shared" si="39"/>
        <v>#DIV/0!</v>
      </c>
      <c r="BI39" s="56" t="e">
        <f t="shared" si="40"/>
        <v>#DIV/0!</v>
      </c>
      <c r="BJ39" s="56" t="e">
        <f t="shared" si="41"/>
        <v>#DIV/0!</v>
      </c>
      <c r="BK39" s="56" t="e">
        <f t="shared" si="42"/>
        <v>#DIV/0!</v>
      </c>
      <c r="BL39" s="56" t="e">
        <f t="shared" si="43"/>
        <v>#DIV/0!</v>
      </c>
      <c r="BM39" s="56" t="e">
        <f t="shared" si="44"/>
        <v>#DIV/0!</v>
      </c>
      <c r="BN39" s="56" t="e">
        <f t="shared" si="45"/>
        <v>#DIV/0!</v>
      </c>
      <c r="BO39" s="57" t="e">
        <f t="shared" si="46"/>
        <v>#DIV/0!</v>
      </c>
    </row>
    <row r="40" spans="18:67" ht="15" customHeight="1">
      <c r="R40" s="247"/>
      <c r="S40" s="190"/>
      <c r="T40" s="190"/>
      <c r="U40" s="190"/>
      <c r="V40" s="190"/>
      <c r="W40" s="14">
        <f t="shared" si="35"/>
        <v>0</v>
      </c>
      <c r="X40" s="192"/>
      <c r="Y40" s="190"/>
      <c r="Z40" s="190"/>
      <c r="AA40" s="190"/>
      <c r="AB40" s="190"/>
      <c r="AC40" s="190"/>
      <c r="AD40" s="190"/>
      <c r="AE40" s="190"/>
      <c r="AF40" s="187"/>
      <c r="AG40" s="187"/>
      <c r="AH40" s="16">
        <f t="shared" si="1"/>
        <v>0</v>
      </c>
      <c r="AI40" s="15">
        <f t="shared" si="2"/>
        <v>0</v>
      </c>
      <c r="AJ40" s="17">
        <f t="shared" si="3"/>
        <v>0</v>
      </c>
      <c r="AK40" s="16">
        <f t="shared" si="4"/>
        <v>0</v>
      </c>
      <c r="AL40" s="16">
        <f>AH40*X40</f>
        <v>0</v>
      </c>
      <c r="AM40" s="84">
        <f t="shared" si="23"/>
        <v>0</v>
      </c>
      <c r="AN40" s="17">
        <f t="shared" si="6"/>
        <v>0</v>
      </c>
      <c r="AO40" s="83">
        <f t="shared" si="7"/>
        <v>0</v>
      </c>
      <c r="AP40" s="25"/>
      <c r="AY40" s="14">
        <f t="shared" si="8"/>
        <v>0</v>
      </c>
      <c r="AZ40" s="14">
        <f t="shared" si="9"/>
        <v>0</v>
      </c>
      <c r="BB40" s="52">
        <f t="shared" si="10"/>
        <v>7.0000000000000001E-3</v>
      </c>
      <c r="BC40" s="53">
        <f t="shared" si="11"/>
        <v>0</v>
      </c>
      <c r="BD40" s="54">
        <f t="shared" si="12"/>
        <v>0</v>
      </c>
      <c r="BE40" s="55">
        <v>0.1</v>
      </c>
      <c r="BF40" s="56" t="e">
        <f t="shared" si="37"/>
        <v>#DIV/0!</v>
      </c>
      <c r="BG40" s="56" t="e">
        <f t="shared" si="38"/>
        <v>#DIV/0!</v>
      </c>
      <c r="BH40" s="56" t="e">
        <f t="shared" si="39"/>
        <v>#DIV/0!</v>
      </c>
      <c r="BI40" s="56" t="e">
        <f t="shared" si="40"/>
        <v>#DIV/0!</v>
      </c>
      <c r="BJ40" s="56" t="e">
        <f t="shared" si="41"/>
        <v>#DIV/0!</v>
      </c>
      <c r="BK40" s="56" t="e">
        <f t="shared" si="42"/>
        <v>#DIV/0!</v>
      </c>
      <c r="BL40" s="56" t="e">
        <f t="shared" si="43"/>
        <v>#DIV/0!</v>
      </c>
      <c r="BM40" s="56" t="e">
        <f t="shared" si="44"/>
        <v>#DIV/0!</v>
      </c>
      <c r="BN40" s="56" t="e">
        <f t="shared" si="45"/>
        <v>#DIV/0!</v>
      </c>
      <c r="BO40" s="57" t="e">
        <f t="shared" si="46"/>
        <v>#DIV/0!</v>
      </c>
    </row>
    <row r="41" spans="18:67" ht="15" customHeight="1">
      <c r="R41" s="247"/>
      <c r="S41" s="190"/>
      <c r="T41" s="190"/>
      <c r="U41" s="190"/>
      <c r="V41" s="190"/>
      <c r="W41" s="14">
        <f t="shared" si="35"/>
        <v>0</v>
      </c>
      <c r="X41" s="192"/>
      <c r="Y41" s="190"/>
      <c r="Z41" s="190"/>
      <c r="AA41" s="190"/>
      <c r="AB41" s="190"/>
      <c r="AC41" s="190"/>
      <c r="AD41" s="190"/>
      <c r="AE41" s="190"/>
      <c r="AF41" s="187"/>
      <c r="AG41" s="187"/>
      <c r="AH41" s="16">
        <f t="shared" si="1"/>
        <v>0</v>
      </c>
      <c r="AI41" s="15">
        <f t="shared" si="2"/>
        <v>0</v>
      </c>
      <c r="AJ41" s="17">
        <f t="shared" si="3"/>
        <v>0</v>
      </c>
      <c r="AK41" s="16">
        <f t="shared" si="4"/>
        <v>0</v>
      </c>
      <c r="AL41" s="16">
        <f t="shared" si="36"/>
        <v>0</v>
      </c>
      <c r="AM41" s="84">
        <f t="shared" si="23"/>
        <v>0</v>
      </c>
      <c r="AN41" s="17">
        <f t="shared" si="6"/>
        <v>0</v>
      </c>
      <c r="AO41" s="83">
        <f t="shared" si="7"/>
        <v>0</v>
      </c>
      <c r="AP41" s="25"/>
      <c r="AY41" s="14">
        <f t="shared" si="8"/>
        <v>0</v>
      </c>
      <c r="AZ41" s="14">
        <f t="shared" si="9"/>
        <v>0</v>
      </c>
      <c r="BB41" s="52">
        <f t="shared" si="10"/>
        <v>7.0000000000000001E-3</v>
      </c>
      <c r="BC41" s="53">
        <f t="shared" si="11"/>
        <v>0</v>
      </c>
      <c r="BD41" s="54">
        <f t="shared" si="12"/>
        <v>0</v>
      </c>
      <c r="BE41" s="55">
        <v>0.1</v>
      </c>
      <c r="BF41" s="56" t="e">
        <f t="shared" si="37"/>
        <v>#DIV/0!</v>
      </c>
      <c r="BG41" s="56" t="e">
        <f t="shared" si="38"/>
        <v>#DIV/0!</v>
      </c>
      <c r="BH41" s="56" t="e">
        <f t="shared" si="39"/>
        <v>#DIV/0!</v>
      </c>
      <c r="BI41" s="56" t="e">
        <f t="shared" si="40"/>
        <v>#DIV/0!</v>
      </c>
      <c r="BJ41" s="56" t="e">
        <f t="shared" si="41"/>
        <v>#DIV/0!</v>
      </c>
      <c r="BK41" s="56" t="e">
        <f t="shared" si="42"/>
        <v>#DIV/0!</v>
      </c>
      <c r="BL41" s="56" t="e">
        <f t="shared" si="43"/>
        <v>#DIV/0!</v>
      </c>
      <c r="BM41" s="56" t="e">
        <f t="shared" si="44"/>
        <v>#DIV/0!</v>
      </c>
      <c r="BN41" s="56" t="e">
        <f t="shared" si="45"/>
        <v>#DIV/0!</v>
      </c>
      <c r="BO41" s="57" t="e">
        <f t="shared" si="46"/>
        <v>#DIV/0!</v>
      </c>
    </row>
    <row r="42" spans="18:67" ht="15" customHeight="1">
      <c r="R42" s="247"/>
      <c r="S42" s="190"/>
      <c r="T42" s="190"/>
      <c r="U42" s="190"/>
      <c r="V42" s="190"/>
      <c r="W42" s="14">
        <f t="shared" si="35"/>
        <v>0</v>
      </c>
      <c r="X42" s="192"/>
      <c r="Y42" s="190"/>
      <c r="Z42" s="190"/>
      <c r="AA42" s="190"/>
      <c r="AB42" s="190"/>
      <c r="AC42" s="190"/>
      <c r="AD42" s="190"/>
      <c r="AE42" s="190"/>
      <c r="AF42" s="187"/>
      <c r="AG42" s="187"/>
      <c r="AH42" s="16">
        <f t="shared" si="1"/>
        <v>0</v>
      </c>
      <c r="AI42" s="15">
        <f t="shared" si="2"/>
        <v>0</v>
      </c>
      <c r="AJ42" s="17">
        <f t="shared" si="3"/>
        <v>0</v>
      </c>
      <c r="AK42" s="16">
        <f t="shared" si="4"/>
        <v>0</v>
      </c>
      <c r="AL42" s="16">
        <f>AH42*X42</f>
        <v>0</v>
      </c>
      <c r="AM42" s="84">
        <f t="shared" si="23"/>
        <v>0</v>
      </c>
      <c r="AN42" s="17">
        <f t="shared" si="6"/>
        <v>0</v>
      </c>
      <c r="AO42" s="83">
        <f t="shared" si="7"/>
        <v>0</v>
      </c>
      <c r="AP42" s="25"/>
      <c r="AY42" s="14">
        <f t="shared" si="8"/>
        <v>0</v>
      </c>
      <c r="AZ42" s="14">
        <f t="shared" si="9"/>
        <v>0</v>
      </c>
      <c r="BB42" s="52">
        <f t="shared" si="10"/>
        <v>7.0000000000000001E-3</v>
      </c>
      <c r="BC42" s="53">
        <f t="shared" si="11"/>
        <v>0</v>
      </c>
      <c r="BD42" s="54">
        <f t="shared" si="12"/>
        <v>0</v>
      </c>
      <c r="BE42" s="55">
        <v>0.1</v>
      </c>
      <c r="BF42" s="56" t="e">
        <f t="shared" si="37"/>
        <v>#DIV/0!</v>
      </c>
      <c r="BG42" s="56" t="e">
        <f t="shared" si="38"/>
        <v>#DIV/0!</v>
      </c>
      <c r="BH42" s="56" t="e">
        <f t="shared" si="39"/>
        <v>#DIV/0!</v>
      </c>
      <c r="BI42" s="56" t="e">
        <f t="shared" si="40"/>
        <v>#DIV/0!</v>
      </c>
      <c r="BJ42" s="56" t="e">
        <f t="shared" si="41"/>
        <v>#DIV/0!</v>
      </c>
      <c r="BK42" s="56" t="e">
        <f t="shared" si="42"/>
        <v>#DIV/0!</v>
      </c>
      <c r="BL42" s="56" t="e">
        <f t="shared" si="43"/>
        <v>#DIV/0!</v>
      </c>
      <c r="BM42" s="56" t="e">
        <f t="shared" si="44"/>
        <v>#DIV/0!</v>
      </c>
      <c r="BN42" s="56" t="e">
        <f t="shared" si="45"/>
        <v>#DIV/0!</v>
      </c>
      <c r="BO42" s="57" t="e">
        <f t="shared" si="46"/>
        <v>#DIV/0!</v>
      </c>
    </row>
    <row r="43" spans="18:67" ht="15" customHeight="1">
      <c r="R43" s="247"/>
      <c r="S43" s="190"/>
      <c r="T43" s="190"/>
      <c r="U43" s="190"/>
      <c r="V43" s="190"/>
      <c r="W43" s="14">
        <f t="shared" si="35"/>
        <v>0</v>
      </c>
      <c r="X43" s="192"/>
      <c r="Y43" s="190"/>
      <c r="Z43" s="190"/>
      <c r="AA43" s="190"/>
      <c r="AB43" s="190"/>
      <c r="AC43" s="190"/>
      <c r="AD43" s="190"/>
      <c r="AE43" s="190"/>
      <c r="AF43" s="187"/>
      <c r="AG43" s="187"/>
      <c r="AH43" s="16">
        <f t="shared" si="1"/>
        <v>0</v>
      </c>
      <c r="AI43" s="15">
        <f t="shared" si="2"/>
        <v>0</v>
      </c>
      <c r="AJ43" s="17">
        <f t="shared" si="3"/>
        <v>0</v>
      </c>
      <c r="AK43" s="16">
        <f t="shared" si="4"/>
        <v>0</v>
      </c>
      <c r="AL43" s="16">
        <f t="shared" si="24"/>
        <v>0</v>
      </c>
      <c r="AM43" s="84">
        <f t="shared" si="23"/>
        <v>0</v>
      </c>
      <c r="AN43" s="17">
        <f t="shared" si="6"/>
        <v>0</v>
      </c>
      <c r="AO43" s="83">
        <f t="shared" si="7"/>
        <v>0</v>
      </c>
      <c r="AP43" s="25"/>
      <c r="AY43" s="14">
        <f t="shared" si="8"/>
        <v>0</v>
      </c>
      <c r="AZ43" s="14">
        <f t="shared" si="9"/>
        <v>0</v>
      </c>
      <c r="BB43" s="52">
        <f t="shared" si="10"/>
        <v>7.0000000000000001E-3</v>
      </c>
      <c r="BC43" s="53">
        <f t="shared" si="11"/>
        <v>0</v>
      </c>
      <c r="BD43" s="54">
        <f t="shared" si="12"/>
        <v>0</v>
      </c>
      <c r="BE43" s="55">
        <v>0.1</v>
      </c>
      <c r="BF43" s="56" t="e">
        <f t="shared" si="25"/>
        <v>#DIV/0!</v>
      </c>
      <c r="BG43" s="56" t="e">
        <f t="shared" si="26"/>
        <v>#DIV/0!</v>
      </c>
      <c r="BH43" s="56" t="e">
        <f t="shared" si="27"/>
        <v>#DIV/0!</v>
      </c>
      <c r="BI43" s="56" t="e">
        <f t="shared" si="28"/>
        <v>#DIV/0!</v>
      </c>
      <c r="BJ43" s="56" t="e">
        <f t="shared" si="29"/>
        <v>#DIV/0!</v>
      </c>
      <c r="BK43" s="56" t="e">
        <f t="shared" si="30"/>
        <v>#DIV/0!</v>
      </c>
      <c r="BL43" s="56" t="e">
        <f t="shared" si="31"/>
        <v>#DIV/0!</v>
      </c>
      <c r="BM43" s="56" t="e">
        <f t="shared" si="32"/>
        <v>#DIV/0!</v>
      </c>
      <c r="BN43" s="56" t="e">
        <f t="shared" si="33"/>
        <v>#DIV/0!</v>
      </c>
      <c r="BO43" s="57" t="e">
        <f t="shared" si="34"/>
        <v>#DIV/0!</v>
      </c>
    </row>
    <row r="44" spans="18:67" ht="15" customHeight="1">
      <c r="R44" s="247"/>
      <c r="S44" s="190"/>
      <c r="T44" s="190"/>
      <c r="U44" s="190"/>
      <c r="V44" s="190"/>
      <c r="W44" s="14">
        <f t="shared" si="35"/>
        <v>0</v>
      </c>
      <c r="X44" s="192"/>
      <c r="Y44" s="190"/>
      <c r="Z44" s="190"/>
      <c r="AA44" s="190"/>
      <c r="AB44" s="190"/>
      <c r="AC44" s="190"/>
      <c r="AD44" s="190"/>
      <c r="AE44" s="190"/>
      <c r="AF44" s="187"/>
      <c r="AG44" s="187"/>
      <c r="AH44" s="16">
        <f t="shared" si="1"/>
        <v>0</v>
      </c>
      <c r="AI44" s="15">
        <f t="shared" si="2"/>
        <v>0</v>
      </c>
      <c r="AJ44" s="17">
        <f t="shared" si="3"/>
        <v>0</v>
      </c>
      <c r="AK44" s="16">
        <f t="shared" si="4"/>
        <v>0</v>
      </c>
      <c r="AL44" s="16">
        <f t="shared" ref="AL44" si="47">AH44*X44</f>
        <v>0</v>
      </c>
      <c r="AM44" s="84">
        <f t="shared" si="23"/>
        <v>0</v>
      </c>
      <c r="AN44" s="17">
        <f t="shared" si="6"/>
        <v>0</v>
      </c>
      <c r="AO44" s="83">
        <f t="shared" si="7"/>
        <v>0</v>
      </c>
      <c r="AP44" s="25"/>
      <c r="AY44" s="14">
        <f t="shared" si="8"/>
        <v>0</v>
      </c>
      <c r="AZ44" s="14">
        <f t="shared" si="9"/>
        <v>0</v>
      </c>
      <c r="BB44" s="52">
        <f t="shared" si="10"/>
        <v>7.0000000000000001E-3</v>
      </c>
      <c r="BC44" s="53">
        <f t="shared" si="11"/>
        <v>0</v>
      </c>
      <c r="BD44" s="54">
        <f t="shared" si="12"/>
        <v>0</v>
      </c>
      <c r="BE44" s="55">
        <v>0.1</v>
      </c>
      <c r="BF44" s="56" t="e">
        <f t="shared" ref="BF44" si="48">(-2*LOG(((BB44/BC44)/3.71)+(2.51/(BD44*(BE44)^0.5))))^(-2)</f>
        <v>#DIV/0!</v>
      </c>
      <c r="BG44" s="56" t="e">
        <f t="shared" ref="BG44" si="49">(-2*LOG(((BB44/BC44)/3.71)+(2.51/(BD44*(BF44)^0.5))))^(-2)</f>
        <v>#DIV/0!</v>
      </c>
      <c r="BH44" s="56" t="e">
        <f t="shared" ref="BH44" si="50">(-2*LOG(((BB44/BC44)/3.71)+(2.51/(BD44*(BG44)^0.5))))^(-2)</f>
        <v>#DIV/0!</v>
      </c>
      <c r="BI44" s="56" t="e">
        <f t="shared" ref="BI44" si="51">(-2*LOG(((BB44/BC44)/3.71)+(2.51/(BD44*(BH44)^0.5))))^(-2)</f>
        <v>#DIV/0!</v>
      </c>
      <c r="BJ44" s="56" t="e">
        <f t="shared" ref="BJ44" si="52">(-2*LOG(((BB44/BC44)/3.71)+(2.51/(BD44*(BI44)^0.5))))^(-2)</f>
        <v>#DIV/0!</v>
      </c>
      <c r="BK44" s="56" t="e">
        <f t="shared" ref="BK44" si="53">(-2*LOG(((BB44/BC44)/3.71)+(2.51/(BD44*(BJ44)^0.5))))^(-2)</f>
        <v>#DIV/0!</v>
      </c>
      <c r="BL44" s="56" t="e">
        <f t="shared" ref="BL44" si="54">(-2*LOG(((BB44/BC44)/3.71)+(2.51/(BD44*(BK44)^0.5))))^(-2)</f>
        <v>#DIV/0!</v>
      </c>
      <c r="BM44" s="56" t="e">
        <f t="shared" ref="BM44" si="55">(-2*LOG(((BB44/BC44)/3.71)+(2.51/(BD44*(BL44)^0.5))))^(-2)</f>
        <v>#DIV/0!</v>
      </c>
      <c r="BN44" s="56" t="e">
        <f t="shared" ref="BN44" si="56">(-2*LOG(((BB44/BC44)/3.71)+(2.51/(BD44*(BM44)^0.5))))^(-2)</f>
        <v>#DIV/0!</v>
      </c>
      <c r="BO44" s="57" t="e">
        <f t="shared" ref="BO44" si="57">(-2*LOG(((BB44/BC44)/3.71)+(2.51/(BD44*(BN44)^0.5))))^(-2)</f>
        <v>#DIV/0!</v>
      </c>
    </row>
    <row r="45" spans="18:67" ht="15" customHeight="1">
      <c r="R45" s="247"/>
      <c r="S45" s="190"/>
      <c r="T45" s="190"/>
      <c r="U45" s="190"/>
      <c r="V45" s="190"/>
      <c r="W45" s="14">
        <f>IF(OR(T46=0,V45=0),V45,V45+W46)</f>
        <v>0</v>
      </c>
      <c r="X45" s="192"/>
      <c r="Y45" s="190"/>
      <c r="Z45" s="190"/>
      <c r="AA45" s="190"/>
      <c r="AB45" s="190"/>
      <c r="AC45" s="190"/>
      <c r="AD45" s="190"/>
      <c r="AE45" s="190"/>
      <c r="AF45" s="187"/>
      <c r="AG45" s="187"/>
      <c r="AH45" s="16">
        <f t="shared" si="1"/>
        <v>0</v>
      </c>
      <c r="AI45" s="15">
        <f t="shared" si="2"/>
        <v>0</v>
      </c>
      <c r="AJ45" s="17">
        <f t="shared" si="3"/>
        <v>0</v>
      </c>
      <c r="AK45" s="16">
        <f t="shared" si="4"/>
        <v>0</v>
      </c>
      <c r="AL45" s="16">
        <f t="shared" si="24"/>
        <v>0</v>
      </c>
      <c r="AM45" s="84">
        <f t="shared" si="23"/>
        <v>0</v>
      </c>
      <c r="AN45" s="17">
        <f t="shared" si="6"/>
        <v>0</v>
      </c>
      <c r="AO45" s="83">
        <f t="shared" si="7"/>
        <v>0</v>
      </c>
      <c r="AP45" s="25"/>
      <c r="AY45" s="14">
        <f t="shared" si="8"/>
        <v>0</v>
      </c>
      <c r="AZ45" s="14">
        <f t="shared" si="9"/>
        <v>0</v>
      </c>
      <c r="BB45" s="52">
        <f t="shared" si="10"/>
        <v>7.0000000000000001E-3</v>
      </c>
      <c r="BC45" s="53">
        <f t="shared" si="11"/>
        <v>0</v>
      </c>
      <c r="BD45" s="54">
        <f t="shared" si="12"/>
        <v>0</v>
      </c>
      <c r="BE45" s="55">
        <v>0.1</v>
      </c>
      <c r="BF45" s="56" t="e">
        <f t="shared" si="25"/>
        <v>#DIV/0!</v>
      </c>
      <c r="BG45" s="56" t="e">
        <f t="shared" si="26"/>
        <v>#DIV/0!</v>
      </c>
      <c r="BH45" s="56" t="e">
        <f t="shared" si="27"/>
        <v>#DIV/0!</v>
      </c>
      <c r="BI45" s="56" t="e">
        <f t="shared" si="28"/>
        <v>#DIV/0!</v>
      </c>
      <c r="BJ45" s="56" t="e">
        <f t="shared" si="29"/>
        <v>#DIV/0!</v>
      </c>
      <c r="BK45" s="56" t="e">
        <f t="shared" si="30"/>
        <v>#DIV/0!</v>
      </c>
      <c r="BL45" s="56" t="e">
        <f t="shared" si="31"/>
        <v>#DIV/0!</v>
      </c>
      <c r="BM45" s="56" t="e">
        <f t="shared" si="32"/>
        <v>#DIV/0!</v>
      </c>
      <c r="BN45" s="56" t="e">
        <f t="shared" si="33"/>
        <v>#DIV/0!</v>
      </c>
      <c r="BO45" s="57" t="e">
        <f t="shared" si="34"/>
        <v>#DIV/0!</v>
      </c>
    </row>
    <row r="46" spans="18:67" ht="15" customHeight="1">
      <c r="AK46" s="32">
        <f>SUM(AK20:AK45)</f>
        <v>1214.6099243205431</v>
      </c>
      <c r="AL46" s="32">
        <f>SUM(AL20:AL45)</f>
        <v>7654.0025798691076</v>
      </c>
      <c r="AM46" s="32">
        <f>SUM(AM20:AM45)</f>
        <v>8868.6125041896503</v>
      </c>
      <c r="AN46" s="25">
        <f>SUM(AN20:AN45)</f>
        <v>8.8686125041896519E-2</v>
      </c>
      <c r="AO46" s="11"/>
      <c r="AP46" s="26"/>
      <c r="BB46" s="60"/>
      <c r="BC46" s="61"/>
      <c r="BD46" s="62"/>
      <c r="BE46" s="63"/>
      <c r="BF46" s="64"/>
      <c r="BG46" s="64"/>
      <c r="BH46" s="64"/>
      <c r="BI46" s="64"/>
      <c r="BJ46" s="64"/>
      <c r="BK46" s="64"/>
      <c r="BL46" s="64"/>
      <c r="BM46" s="64"/>
      <c r="BN46" s="64"/>
      <c r="BO46" s="65"/>
    </row>
    <row r="47" spans="18:67" ht="15" customHeight="1"/>
    <row r="48" spans="18:67" ht="15" customHeight="1">
      <c r="AK48" s="32"/>
      <c r="AL48" s="32"/>
      <c r="AM48" s="32"/>
      <c r="AN48" s="32"/>
      <c r="AO48" s="11"/>
      <c r="AY48" s="12"/>
      <c r="BB48" s="14" t="s">
        <v>52</v>
      </c>
      <c r="BC48" s="14"/>
      <c r="BE48" s="66">
        <v>40</v>
      </c>
      <c r="BJ48" s="89" t="s">
        <v>9</v>
      </c>
      <c r="BK48" s="1"/>
      <c r="BL48" s="1"/>
      <c r="BM48" s="1"/>
    </row>
    <row r="49" spans="18:65" ht="15" customHeight="1">
      <c r="W49" s="76"/>
      <c r="AH49" s="272" t="str">
        <f>HLOOKUP('REHAU RAUPEX'!S10,Sprachen!A1:T99,41,0)</f>
        <v>Der Benutzer entscheidet, welche Werte addiert am Ende der Spalten ausgegeben werden.</v>
      </c>
      <c r="AI49" s="272"/>
      <c r="AJ49" s="272"/>
      <c r="AK49" s="272"/>
      <c r="AL49" s="272"/>
      <c r="AM49" s="272"/>
      <c r="AO49" s="11"/>
      <c r="AY49" s="12"/>
      <c r="BB49" s="240">
        <v>20</v>
      </c>
      <c r="BC49" s="81">
        <v>1.9</v>
      </c>
      <c r="BE49" s="67">
        <v>63</v>
      </c>
      <c r="BJ49" s="2" t="s">
        <v>2</v>
      </c>
      <c r="BK49" s="3">
        <f>BM50/221.287</f>
        <v>4.5190182884670129E-3</v>
      </c>
      <c r="BL49" s="87" t="s">
        <v>3</v>
      </c>
      <c r="BM49" s="5">
        <f>Strangleitung!Z9</f>
        <v>20</v>
      </c>
    </row>
    <row r="50" spans="18:65" ht="15" customHeight="1">
      <c r="AC50" s="58"/>
      <c r="AH50" s="272"/>
      <c r="AI50" s="272"/>
      <c r="AJ50" s="272"/>
      <c r="AK50" s="272"/>
      <c r="AL50" s="272"/>
      <c r="AM50" s="272"/>
      <c r="AO50" s="11"/>
      <c r="AY50" s="12"/>
      <c r="BB50" s="240">
        <v>25</v>
      </c>
      <c r="BC50" s="81">
        <v>2.2999999999999998</v>
      </c>
      <c r="BJ50" s="6" t="s">
        <v>4</v>
      </c>
      <c r="BK50" s="7">
        <f>(BM49+273.15)/647.3</f>
        <v>0.45288119882589217</v>
      </c>
      <c r="BL50" s="4" t="s">
        <v>5</v>
      </c>
      <c r="BM50" s="8">
        <v>1</v>
      </c>
    </row>
    <row r="51" spans="18:65" ht="15" customHeight="1">
      <c r="AH51" s="12"/>
      <c r="AJ51" s="204"/>
      <c r="AK51" s="205"/>
      <c r="AL51" s="205"/>
      <c r="AM51" s="205"/>
      <c r="AN51" s="205"/>
      <c r="AO51" s="206"/>
      <c r="AY51" s="77"/>
      <c r="BB51" s="240">
        <v>32</v>
      </c>
      <c r="BC51" s="81">
        <v>2.9</v>
      </c>
      <c r="BE51" s="23" t="s">
        <v>40</v>
      </c>
      <c r="BF51" s="18"/>
      <c r="BG51" s="20">
        <f>Strangleitung!BM53</f>
        <v>998.36112724859981</v>
      </c>
      <c r="BH51" s="19" t="s">
        <v>45</v>
      </c>
      <c r="BJ51" s="6" t="s">
        <v>6</v>
      </c>
      <c r="BK51" s="7">
        <f>370000000-312219900*(BK50^2)-199985*(BK50^-6)</f>
        <v>282784428.86460602</v>
      </c>
    </row>
    <row r="52" spans="18:65" ht="15" customHeight="1">
      <c r="R52" s="76"/>
      <c r="AC52" s="58"/>
      <c r="AH52" s="204" t="str">
        <f>HLOOKUP('REHAU RAUPEX'!S10,Sprachen!A1:T99,42,0)</f>
        <v>Interpretiere dein Ergebnis auf der ersten Seite:</v>
      </c>
      <c r="AJ52" s="58"/>
      <c r="AK52" s="58"/>
      <c r="AM52" s="211"/>
      <c r="AN52" s="209">
        <f>SUM(AN20:AN45)</f>
        <v>8.8686125041896519E-2</v>
      </c>
      <c r="AO52" s="210" t="s">
        <v>80</v>
      </c>
      <c r="BB52" s="240">
        <v>40</v>
      </c>
      <c r="BC52" s="81">
        <v>3.7</v>
      </c>
      <c r="BE52" s="23" t="s">
        <v>47</v>
      </c>
      <c r="BF52" s="18"/>
      <c r="BG52" s="14">
        <v>7.0000000000000001E-3</v>
      </c>
      <c r="BH52" s="19" t="s">
        <v>0</v>
      </c>
      <c r="BJ52" s="6" t="s">
        <v>7</v>
      </c>
      <c r="BK52" s="7">
        <f>BK51+((1.72*(BK51^2)+13629260000000000*(BK49-1.500705*BK50))^0.5)</f>
        <v>641032782.6842351</v>
      </c>
      <c r="BL52" s="1"/>
      <c r="BM52" s="1"/>
    </row>
    <row r="53" spans="18:65" ht="15" customHeight="1">
      <c r="R53" s="76"/>
      <c r="W53" s="79"/>
      <c r="AJ53" s="204"/>
      <c r="AK53" s="205"/>
      <c r="AL53" s="205"/>
      <c r="AM53" s="205"/>
      <c r="AN53" s="205"/>
      <c r="AO53" s="206"/>
      <c r="BB53" s="240">
        <v>50</v>
      </c>
      <c r="BC53" s="81">
        <v>4.5999999999999996</v>
      </c>
      <c r="BE53" s="23" t="s">
        <v>51</v>
      </c>
      <c r="BF53" s="18"/>
      <c r="BG53" s="21">
        <f>(1.78*10^-6)/(1+0.0337*Z9+0.000221*Z9^2)</f>
        <v>1.0099863822060825E-6</v>
      </c>
      <c r="BH53" s="19" t="s">
        <v>46</v>
      </c>
      <c r="BJ53" s="9" t="s">
        <v>8</v>
      </c>
      <c r="BK53" s="10">
        <f>0.417/(BK52^(1/3.4))-0.0001139706+0.00009949927*BK50+((0.6537154-BK50)^2)*(0.00007241165+((0.6537154-BK50)^8)*0.7676621)-0.00000000001052358*(62.5+13.10268*BK49+(BK49^2))/(0.000015108+(BK50^11))</f>
        <v>1.0016415630643761E-3</v>
      </c>
      <c r="BL53" s="87" t="s">
        <v>1</v>
      </c>
      <c r="BM53" s="88">
        <f>1/BK53</f>
        <v>998.36112724859981</v>
      </c>
    </row>
    <row r="54" spans="18:65" ht="15" customHeight="1">
      <c r="AJ54" s="204"/>
      <c r="AK54" s="205"/>
      <c r="AL54" s="205"/>
      <c r="AM54" s="205"/>
      <c r="AN54" s="205"/>
      <c r="AO54" s="206"/>
      <c r="BB54" s="240">
        <v>63</v>
      </c>
      <c r="BC54" s="81">
        <v>5.8</v>
      </c>
    </row>
    <row r="55" spans="18:65" ht="15" hidden="1" customHeight="1">
      <c r="R55" s="76"/>
      <c r="AD55" s="86"/>
      <c r="AJ55" s="204"/>
      <c r="AK55" s="205"/>
      <c r="AL55" s="205"/>
      <c r="AM55" s="205"/>
      <c r="AN55" s="205"/>
      <c r="AO55" s="206"/>
      <c r="BB55" s="240">
        <v>75</v>
      </c>
      <c r="BC55" s="81">
        <v>6.8</v>
      </c>
    </row>
    <row r="56" spans="18:65" ht="15" hidden="1" customHeight="1">
      <c r="R56" s="76"/>
      <c r="BB56" s="240">
        <v>90</v>
      </c>
      <c r="BC56" s="81">
        <v>8.1999999999999993</v>
      </c>
    </row>
    <row r="57" spans="18:65" ht="15" hidden="1" customHeight="1">
      <c r="AD57" s="58"/>
      <c r="BB57" s="240">
        <v>110</v>
      </c>
      <c r="BC57" s="81">
        <v>10</v>
      </c>
    </row>
    <row r="58" spans="18:65" ht="15" hidden="1" customHeight="1">
      <c r="R58" s="76"/>
      <c r="BB58" s="14">
        <v>125</v>
      </c>
      <c r="BC58" s="14">
        <v>11.4</v>
      </c>
    </row>
    <row r="59" spans="18:65" ht="15" hidden="1" customHeight="1">
      <c r="BB59" s="240">
        <v>160</v>
      </c>
      <c r="BC59" s="81">
        <v>14.6</v>
      </c>
    </row>
    <row r="60" spans="18:65" ht="15" hidden="1" customHeight="1">
      <c r="R60" s="76"/>
    </row>
    <row r="62" spans="18:65" ht="15" hidden="1" customHeight="1">
      <c r="R62" s="76"/>
    </row>
    <row r="63" spans="18:65" ht="15" hidden="1" customHeight="1">
      <c r="R63" s="76"/>
    </row>
    <row r="64" spans="18:65" ht="15" hidden="1" customHeight="1">
      <c r="AY64" s="22"/>
      <c r="AZ64" s="22"/>
      <c r="BA64" s="22"/>
    </row>
  </sheetData>
  <sheetProtection algorithmName="SHA-512" hashValue="UGU4aNKTMfIm3BJyPzZffNkZ9GfhS2Z8TzQQG9DyAZSTSXUcZY1LtLb05opLDyfxomGGFc8AVk6DwZYUSzm0tg==" saltValue="6W8LkJHE9uyTMhZzAzGVeg==" spinCount="100000" sheet="1" objects="1" scenarios="1" selectLockedCells="1"/>
  <dataConsolidate/>
  <mergeCells count="11">
    <mergeCell ref="AH49:AM50"/>
    <mergeCell ref="H13:J13"/>
    <mergeCell ref="H12:J12"/>
    <mergeCell ref="K3:N3"/>
    <mergeCell ref="S16:S17"/>
    <mergeCell ref="AK19:AL19"/>
    <mergeCell ref="R16:R17"/>
    <mergeCell ref="U16:U17"/>
    <mergeCell ref="W7:AC7"/>
    <mergeCell ref="AJ5:AM9"/>
    <mergeCell ref="T8:U8"/>
  </mergeCells>
  <conditionalFormatting sqref="AJ20:AJ45">
    <cfRule type="cellIs" dxfId="4" priority="3" operator="greaterThan">
      <formula>2</formula>
    </cfRule>
    <cfRule type="cellIs" dxfId="3" priority="4" operator="between">
      <formula>1.5</formula>
      <formula>2</formula>
    </cfRule>
  </conditionalFormatting>
  <conditionalFormatting sqref="AN20:AN45">
    <cfRule type="cellIs" dxfId="2" priority="1" operator="greaterThan">
      <formula>$T$8</formula>
    </cfRule>
    <cfRule type="cellIs" dxfId="1" priority="2" operator="between">
      <formula>$T$8/2</formula>
      <formula>$T$8</formula>
    </cfRule>
  </conditionalFormatting>
  <conditionalFormatting sqref="AN52">
    <cfRule type="cellIs" dxfId="0" priority="6" operator="greaterThan">
      <formula>$T$8</formula>
    </cfRule>
  </conditionalFormatting>
  <dataValidations count="7">
    <dataValidation type="decimal" allowBlank="1" showInputMessage="1" showErrorMessage="1" error="0 &lt; x &lt; 90" sqref="Z9" xr:uid="{00000000-0002-0000-0200-000000000000}">
      <formula1>0</formula1>
      <formula2>90</formula2>
    </dataValidation>
    <dataValidation type="decimal" operator="greaterThan" allowBlank="1" showInputMessage="1" showErrorMessage="1" sqref="W5:W6 X20:AG45" xr:uid="{00000000-0002-0000-0200-000001000000}">
      <formula1>0</formula1>
    </dataValidation>
    <dataValidation type="whole" allowBlank="1" showInputMessage="1" showErrorMessage="1" error="Maximal 20 Schweißzangen möglich!" sqref="T9:U9" xr:uid="{00000000-0002-0000-0200-000002000000}">
      <formula1>0</formula1>
      <formula2>20</formula2>
    </dataValidation>
    <dataValidation type="whole" allowBlank="1" showInputMessage="1" showErrorMessage="1" sqref="N21:N44" xr:uid="{00000000-0002-0000-0200-000003000000}">
      <formula1>1</formula1>
      <formula2>20</formula2>
    </dataValidation>
    <dataValidation type="whole" allowBlank="1" showErrorMessage="1" error="Eingabe &quot;ganze Zahl&quot; oder &quot;leer&quot;" sqref="N20" xr:uid="{00000000-0002-0000-0200-000004000000}">
      <formula1>1</formula1>
      <formula2>20</formula2>
    </dataValidation>
    <dataValidation type="list" allowBlank="1" showInputMessage="1" showErrorMessage="1" sqref="M20:M44" xr:uid="{00000000-0002-0000-0200-000005000000}">
      <formula1>$L$6:$L$14</formula1>
    </dataValidation>
    <dataValidation type="list" allowBlank="1" showInputMessage="1" showErrorMessage="1" sqref="T20:T45" xr:uid="{00000000-0002-0000-0200-000006000000}">
      <formula1>"20,25,32,40,50,63,75,90,110,125,160"</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landscape" r:id="rId1"/>
  <headerFooter alignWithMargins="0">
    <oddFooter>&amp;LRAUPEX_automotive_cooling_below_200_mbar_Vers_01.2021&amp;CSeite 3/5&amp;RDruckdatum &amp;D</oddFooter>
  </headerFooter>
  <ignoredErrors>
    <ignoredError sqref="W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5" tint="0.39997558519241921"/>
    <pageSetUpPr fitToPage="1"/>
  </sheetPr>
  <dimension ref="C1:BI65"/>
  <sheetViews>
    <sheetView showGridLines="0" showRowColHeaders="0" zoomScale="70" zoomScaleNormal="70" zoomScalePageLayoutView="40" workbookViewId="0">
      <selection activeCell="C9" sqref="C9"/>
    </sheetView>
  </sheetViews>
  <sheetFormatPr defaultColWidth="0" defaultRowHeight="12.75" zeroHeight="1"/>
  <cols>
    <col min="1" max="2" width="3.28515625" style="1" customWidth="1"/>
    <col min="3" max="3" width="46.140625" style="1" customWidth="1"/>
    <col min="4" max="4" width="120.5703125" style="1" customWidth="1"/>
    <col min="5" max="5" width="34.140625" style="1" customWidth="1"/>
    <col min="6" max="61" width="3.28515625" style="1" hidden="1" customWidth="1"/>
    <col min="62" max="16384" width="0" style="1" hidden="1"/>
  </cols>
  <sheetData>
    <row r="1" spans="3:58"/>
    <row r="2" spans="3:58"/>
    <row r="3" spans="3:58"/>
    <row r="4" spans="3:58" ht="30">
      <c r="C4" s="239" t="str">
        <f>HLOOKUP('REHAU RAUPEX'!S10,Sprachen!A1:T99,52,0)</f>
        <v>ANLEITUNG BERECHNUNGSTOOL RAUPEX INDUSTRIEROHRSYSTEM</v>
      </c>
    </row>
    <row r="5" spans="3:58"/>
    <row r="6" spans="3:58" ht="27">
      <c r="C6" s="196" t="str">
        <f>HLOOKUP('REHAU RAUPEX'!S10,Sprachen!A1:T99,53,0)</f>
        <v>DRUCKVERLUSTBETRACHTUNG IM VORLAUF - MEDIUM WASSER</v>
      </c>
      <c r="E6" s="241" t="s">
        <v>436</v>
      </c>
    </row>
    <row r="7" spans="3:58"/>
    <row r="8" spans="3:58" ht="12.75" customHeight="1">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row>
    <row r="9" spans="3:58" ht="195.75" customHeight="1">
      <c r="C9" s="231" t="str">
        <f>HLOOKUP('REHAU RAUPEX'!S10,Sprachen!A1:T99,54,0)</f>
        <v>Beispielanlage für den hydraulischen Vorlauf. 
Beginnend nehmen wir eine durchgehende Rohrdimension von 32 x 2,9 mm an.</v>
      </c>
      <c r="D9" s="231" t="str">
        <f>HLOOKUP('REHAU RAUPEX'!S10,Sprachen!A1:T99,55,0)</f>
        <v>Die Rohrnetzskizze kann aus jeder anderen Anwendung heraus kopiert und auf den ersten drei Seiten im Berechnungstool eingefügt werden.
Alternativ kann die Rohrnetzskizze auch durch Einzellinien erstellt werden.</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row>
    <row r="10" spans="3:58" ht="202.5">
      <c r="C10" s="231" t="str">
        <f>HLOOKUP('REHAU RAUPEX'!S10,Sprachen!A1:T99,56,0)</f>
        <v>Erstelle eine Skizze vom Vorlauf und beschrifte die Leitungsabschnitte und die Verbraucher.</v>
      </c>
      <c r="D10" s="231" t="str">
        <f>HLOOKUP('REHAU RAUPEX'!S10,Sprachen!A1:T99,57,0)</f>
        <v xml:space="preserve">Die Beschriftungen könnten wie folgt gewählt werden:
          Hx Hauptleitungsabschnitt
          Rx Ringleitungsabschnitt
          Vx Verteilleitungsabschnitt
          Zx  Verbraucher (Schweiss-)Zange
          Tx   T-Stück
Ein Leitungsabschnitt wird dadurch definiert, dass er nur am Anfang und am Ende eine Volumenstromteilung oder -zusammenführung aufzeigt (Ausnahmen siehe Skizze H1 und V1). Stichleitungen zum Einzelverbraucher und deren T-Stücke können bei Bedarf gekennzeichnet werden. </v>
      </c>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row>
    <row r="11" spans="3:58" ht="263.25">
      <c r="C11" s="231" t="str">
        <f>HLOOKUP('REHAU RAUPEX'!S10,Sprachen!A1:T99,58,0)</f>
        <v>Ermittlung hydraulischer Nullpunkt.
(Dieser Schritt ist nur erforderlich, wenn die Anlage eine Ringleitung enthält.)</v>
      </c>
      <c r="D11" s="231" t="str">
        <f>HLOOKUP('REHAU RAUPEX'!S10,Sprachen!A1:T99,59,0)</f>
        <v>Als Zwischenziel wollen wir nun die ideale Verteilung des Volumenstrom in der Ringleitung ermitteln, welche sich in unserem Beispiel bei T1 beginnend nach rechts und links aufteilt und im hydraulischen Nullpunkt wieder vereint. Der hydraulische Nullpunkt kann ein T-Stück Tx oder ein Verbraucher Zx sein, wir vermuten den Punkt T2 und öffnen das Tabellenblatt Ringleitung.
Im oberen Feld nun die links laufenden Ringleitungsabschnitte R1 und R2 und im unteren Feld die rechtslaufenden Ringleitungsabschnitte R5, R4 und R3 eintragen. Für jeden Ringleitungsabschnitt immer nur den Volumenstrom eingeben, welcher am Ende vom Verbraucher Zx abgenommen oder am T-Stück Tx abgegeben wird. Das obere und untere Feld endet in unserer Annahme jeweils im Punkt T2. Wir verteilen den Volumenstrom nun nach rechts und links im Punkt T2 bis die Seiten im Kreisdiagramm gleich groß sind. Nun kennen wir die ideale Verteilung des Volumenstrom in der Ringleitung für die weitere Berechnung.</v>
      </c>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row>
    <row r="12" spans="3:58" ht="263.25">
      <c r="C12" s="231" t="str">
        <f>HLOOKUP('REHAU RAUPEX'!S10,Sprachen!A1:T99,60,0)</f>
        <v>Druckverlust hydraulischer Vorlauf (kritischer Pfad) der Beispielanlage.</v>
      </c>
      <c r="D12" s="231" t="str">
        <f>HLOOKUP('REHAU RAUPEX'!S10,Sprachen!A1:T99,61,0)</f>
        <v>Vom Einspeisepunkt ausgehend, suchen wir nun den Verbraucher mit dem größten Druckverlust (auch kritischer Pfad genannt). In unserem Beispiel können wir die Rohrleitungsstrecke zwischen HIP und Z3 annehmen.
Dieser Rohrleitungsweg ist nicht immer gleich erkennbar. Häufig enthält dieser die größte Anzahl Verbraucher und/oder längsten Rohrleitungsweg. Auch kann dieser Weg durch Abschnitte einer Ringleitung führen, deshalb wurde die Ringleitung bereits berechnet. Wir öffnen das Tabellenblatt Strangleitung.
Nun tragen wir die Rohrleitungsabschnitte H1, H2, R1 und R2 bis Z3 in die Felder ein. Für jeden Rohrleitungsabschnitt immer nur den Volumenstrom eingeben, welcher am Ende vom Verbraucher Zx abgenommen oder am T-Stück Tx abgegeben wird. Um die Verteilleitung V1 zu berücksichtigen, muss diese nach einer Leerzeile separat erfasst werden. Der Druckverlust im hydraulischen Vorlauf ist ermittelt. Bitte bachten Sie hierzu auch die Hinweise in den Nutzungsbedingungen!</v>
      </c>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row>
    <row r="13" spans="3:58" ht="20.25">
      <c r="C13" s="207"/>
      <c r="D13" s="232"/>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row>
    <row r="14" spans="3:58" ht="82.5" customHeight="1">
      <c r="C14" s="231" t="str">
        <f>HLOOKUP('REHAU RAUPEX'!S10,Sprachen!A1:T99,62,0)</f>
        <v>Regel Druckverlust &lt; 0,2bar</v>
      </c>
      <c r="D14" s="231" t="str">
        <f>HLOOKUP('REHAU RAUPEX'!S10,Sprachen!A1:T99,63,0)</f>
        <v>Mit diesem Berechnungstool wird nur der Druckverlust im Vorlauf der Rohrleitungsanlage berechnet, welcher im Ergebnis &lt; 0,2 bar sein muss. Wird der Rücklauf identisch ausgeführt, kann dieser Wert verdoppelt werden, um auf den Gesamtdruckverlust der Rohrleitungsanlage zu schließen, welcher im Ergebnis &lt; 0,4 bar sein muss.</v>
      </c>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row>
    <row r="15" spans="3:58" ht="82.5" customHeight="1">
      <c r="C15" s="231" t="str">
        <f>HLOOKUP('REHAU RAUPEX'!S10,Sprachen!A1:T99,64,0)</f>
        <v>Regel zur Rohrdimension</v>
      </c>
      <c r="D15" s="208" t="str">
        <f>HLOOKUP('REHAU RAUPEX'!S10,Sprachen!A1:T99,65,0)</f>
        <v>Für die erste Berechnung ist eine durchgehende Rohrdimension von 32x2,9 mm anzunehmen. Stellt sich der geforderte Druckverlust &lt; 0,2 bar ein, sind häufig keine weiteren Optimierungen erforderlich. Wird dieser Druckverlust überschritten, können folgende Optimierungen eine Lösungen darstellen.</v>
      </c>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row>
    <row r="16" spans="3:58" ht="60.75">
      <c r="C16" s="231" t="str">
        <f>HLOOKUP('REHAU RAUPEX'!S10,Sprachen!A1:T99,66,0)</f>
        <v>Regel zur Optimierung mittels Dimensionswahl</v>
      </c>
      <c r="D16" s="208" t="str">
        <f>HLOOKUP('REHAU RAUPEX'!S10,Sprachen!A1:T99,67,0)</f>
        <v>Wird der geforderte Druckverlust &lt; 0,2 bar überschritten, kann durch Vergößerung der Dimension der ersten Rohrabschnitte von der HIP ausgehend die Fließgeschwindigkeit und damit der Druckverlust wieder reduziert werden.</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row>
    <row r="17" spans="3:58" ht="60.75">
      <c r="C17" s="231" t="str">
        <f>HLOOKUP('REHAU RAUPEX'!S10,Sprachen!A1:T99,68,0)</f>
        <v>Regel zur Optimierung mittels Ringleitung</v>
      </c>
      <c r="D17" s="208" t="str">
        <f>HLOOKUP('REHAU RAUPEX'!S10,Sprachen!A1:T99,69,0)</f>
        <v>Wird der geforderte Druckverlust &lt; 0,2 bar überschritten, kann häufig durch zusätzliche Ergänzung eines Ringleitungsschluss der Volumenstrom geteilt und der Druckverlust wieder reduziert werden.</v>
      </c>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row>
    <row r="18" spans="3:58" ht="101.25">
      <c r="C18" s="231" t="str">
        <f>HLOOKUP('REHAU RAUPEX'!S10,Sprachen!A1:T99,70,0)</f>
        <v>Regel zur Optimierung mittels Position der HIP</v>
      </c>
      <c r="D18" s="231" t="str">
        <f>HLOOKUP('REHAU RAUPEX'!S10,Sprachen!A1:T99,71,0)</f>
        <v>Wird der geforderte Druckverlust &lt; 0,2 bar überschritten, kann durch Positionsänderung der HIP im Mittelfeld der Rohrleitungsanlage der Druckverlust wieder reduziert werden. Von dieser Position aus können mehrere Stränge die Verbraucher bedienen, was bei gleicher Rohrdimension häufig hydraulisch sinnvoller ist.</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row>
    <row r="19" spans="3:58" ht="60.75">
      <c r="C19" s="231" t="str">
        <f>HLOOKUP('REHAU RAUPEX'!S10,Sprachen!A1:T99,72,0)</f>
        <v>Hinweisampel 
Druckverlust</v>
      </c>
      <c r="D19" s="208" t="str">
        <f>HLOOKUP('REHAU RAUPEX'!S10,Sprachen!A1:T99,73,0)</f>
        <v>Auf den Berechnungsblättern "Ringleitung" und "Strangleitung" wird unten rechts jeweils das Ergebnis zum Druckverlust angegeben. Übersteigt dieser Wert 0,2 bar, wird das Ergebnis ROT hinterlegt um auf diesen Fehler hinzuweisen.</v>
      </c>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row>
    <row r="20" spans="3:58" ht="81">
      <c r="C20" s="231" t="str">
        <f>HLOOKUP('REHAU RAUPEX'!S10,Sprachen!A1:T99,74,0)</f>
        <v>Hinweisampel  Fließgeschwindigkeit</v>
      </c>
      <c r="D20" s="208" t="str">
        <f>HLOOKUP('REHAU RAUPEX'!S10,Sprachen!A1:T99,75,0)</f>
        <v>Auf den Berechnungsblättern "Ringleitung" und "Strangleitung" werden Fließgeschwindigkeit zwischen 1,5  bis 2,0 m/s automatisch ORANGE und Fließgeschwindigkeiten ab 2,0 m/s automatisch ROT hinterlegt. Dies kann als Hinweis und Aufforderung zur Prüfung verstanden werden.</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row>
    <row r="21" spans="3:58" ht="12.75" hidden="1" customHeight="1">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row>
    <row r="22" spans="3:58" ht="12.75" hidden="1" customHeight="1">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row>
    <row r="23" spans="3:58" ht="12.75" hidden="1" customHeight="1">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row>
    <row r="24" spans="3:58" ht="12.75" hidden="1" customHeight="1">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row>
    <row r="25" spans="3:58" ht="12.75" hidden="1" customHeight="1">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row>
    <row r="26" spans="3:58" ht="12.75" hidden="1" customHeight="1">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row>
    <row r="27" spans="3:58" ht="12.75" hidden="1" customHeight="1">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row>
    <row r="28" spans="3:58" ht="12.75" hidden="1" customHeight="1">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row>
    <row r="29" spans="3:58" ht="12.75" hidden="1" customHeight="1">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row>
    <row r="30" spans="3:58" ht="12.75" hidden="1"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row>
    <row r="31" spans="3:58" ht="12.75" hidden="1" customHeight="1">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row>
    <row r="32" spans="3:58" ht="12.75" hidden="1"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row>
    <row r="33" spans="3:58" ht="12.75" hidden="1"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row>
    <row r="34" spans="3:58" ht="12.75" hidden="1" customHeight="1">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row>
    <row r="35" spans="3:58" ht="12.75" hidden="1" customHeight="1">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row>
    <row r="36" spans="3:58" ht="12.75" hidden="1" customHeight="1">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row>
    <row r="37" spans="3:58" ht="12.75" hidden="1"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row>
    <row r="38" spans="3:58" ht="12.75" hidden="1" customHeight="1">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row>
    <row r="39" spans="3:58" ht="12.75" hidden="1" customHeight="1">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row>
    <row r="40" spans="3:58" ht="12.75" hidden="1"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row>
    <row r="41" spans="3:58" ht="12.75" hidden="1" customHeight="1">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row>
    <row r="42" spans="3:58" ht="12.75" hidden="1" customHeight="1">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row>
    <row r="43" spans="3:58" ht="12.75" hidden="1" customHeight="1">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row>
    <row r="44" spans="3:58" ht="12.75" hidden="1" customHeight="1">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row>
    <row r="45" spans="3:58" ht="12.75" hidden="1" customHeight="1">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row>
    <row r="46" spans="3:58" ht="12.75" hidden="1" customHeight="1">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row>
    <row r="47" spans="3:58" ht="12.75" hidden="1" customHeight="1">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row>
    <row r="48" spans="3:58" ht="12.75" hidden="1" customHeight="1">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row>
    <row r="49" spans="3:58" ht="12.75" hidden="1" customHeight="1">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row>
    <row r="50" spans="3:58" ht="12.75" hidden="1" customHeight="1">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row>
    <row r="51" spans="3:58" ht="12.75" hidden="1" customHeight="1">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3:58" ht="12.75" hidden="1" customHeight="1">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3:58" ht="12.75" hidden="1" customHeight="1">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3:58" ht="12.75" hidden="1" customHeight="1">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3:58" ht="12.75" hidden="1" customHeight="1">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3:58" ht="12.75" hidden="1" customHeight="1">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3:58" ht="12.75" hidden="1" customHeight="1">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3:58" ht="12.75" hidden="1" customHeight="1">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3:58" ht="12.75" hidden="1" customHeight="1">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3:58" ht="12.75" hidden="1" customHeight="1">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3:58" ht="12.75" hidden="1" customHeight="1">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3:58" ht="12.75" hidden="1"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3:58" ht="12.75" hidden="1" customHeight="1">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5"/>
  </sheetData>
  <sheetProtection algorithmName="SHA-512" hashValue="N8GFKFTXda4+lDy5PRH0acxveUD4sg+iC9L0Dnqz0DLlRrDUppIzZVfgIbkb/nVVmWQqwlFm73c9upYQ4Solaw==" saltValue="X196KB1+zwkZIGMzpDTTlQ==" spinCount="100000" sheet="1" objects="1" scenarios="1" selectLockedCells="1" selectUnlockedCells="1"/>
  <pageMargins left="0.23622047244094491" right="0.23622047244094491" top="0.74803149606299213" bottom="0.74803149606299213" header="0.31496062992125984" footer="0.31496062992125984"/>
  <pageSetup paperSize="9" scale="46" orientation="portrait" verticalDpi="90" r:id="rId1"/>
  <headerFooter>
    <oddFooter>&amp;LRAUPEX_automotive_cooling_below_200_mbar_Vers_01.2021&amp;CSeite 4/5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5" tint="0.39997558519241921"/>
    <pageSetUpPr fitToPage="1"/>
  </sheetPr>
  <dimension ref="A1:BI63"/>
  <sheetViews>
    <sheetView showGridLines="0" showRowColHeaders="0" zoomScale="70" zoomScaleNormal="70" zoomScalePageLayoutView="85" workbookViewId="0"/>
  </sheetViews>
  <sheetFormatPr defaultColWidth="0" defaultRowHeight="12.75" zeroHeight="1"/>
  <cols>
    <col min="1" max="61" width="3.28515625" style="1" customWidth="1"/>
    <col min="62" max="16384" width="11.42578125" style="1" hidden="1"/>
  </cols>
  <sheetData>
    <row r="1" spans="3:58"/>
    <row r="2" spans="3:58"/>
    <row r="3" spans="3:58"/>
    <row r="4" spans="3:58" ht="33.75">
      <c r="C4" s="197" t="str">
        <f>HLOOKUP('REHAU RAUPEX'!S10,Sprachen!A1:T99,43,0)</f>
        <v>NUTZUNGSBEDINGUNGEN</v>
      </c>
    </row>
    <row r="5" spans="3:58"/>
    <row r="6" spans="3:58" ht="27">
      <c r="C6" s="196" t="str">
        <f>HLOOKUP('REHAU RAUPEX'!S10,Sprachen!A1:T99,44,0)</f>
        <v>BERECHNUNGSTOOL RAUPEX INDUSTRIEROHRSYSTEM - MEDIUM WASSER</v>
      </c>
    </row>
    <row r="7" spans="3:58"/>
    <row r="8" spans="3:58" ht="12.75" customHeight="1">
      <c r="C8" s="284" t="str">
        <f>HLOOKUP('REHAU RAUPEX'!S10,Sprachen!A1:T99,45,0)</f>
        <v>Mit diesem Berechnungstool können für die Anwendung Wassertransport, in Verbindung mit dem RAUPEX INDUSTRIEROHRSYSTEM der Rohrreihe SDR11 und Schiebehülsenverbindung, Druckverlustbetrachtungen innerhalb des RAUPEX-Systems durchgeführt werden. Bauseitige Komponenten außerhalb des RAUPEX-Systems können in die Betrachtung nicht einbezogen werden. Für die Betrachtung der jeweiligen Verlegeart, zum Beispiel im Ring oder im Strang, bietet das Berechnungstool unterschiedliche Tabellenblätter an, welche durch den Benutzer eigenverantwortlich auszuwählen, zu kombinieren und auf den jeweiligen Anwendungsfall anzuwenden sind. Die sich ergebenden Teilergebnisse werden durch den Benutzer interpretiert sowie das Gesamtergebnis abgeleitet.</v>
      </c>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row>
    <row r="9" spans="3:58" ht="12.75" customHeight="1">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row>
    <row r="10" spans="3:58" ht="12.75" customHeight="1">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row>
    <row r="11" spans="3:58" ht="12.75" customHeight="1">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row>
    <row r="12" spans="3:58" ht="12.75" customHeight="1">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row>
    <row r="13" spans="3:58" ht="12.75" customHeight="1">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row>
    <row r="14" spans="3:58" ht="12.75" customHeight="1">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row>
    <row r="15" spans="3:58" ht="12.75" customHeight="1">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row>
    <row r="16" spans="3:58" ht="12.75" customHeight="1">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row>
    <row r="17" spans="3:58" ht="12.75" customHeight="1">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row>
    <row r="18" spans="3:58" ht="12.75" customHeight="1">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row>
    <row r="19" spans="3:58" ht="12.75" customHeight="1">
      <c r="C19" s="282" t="str">
        <f>HLOOKUP('REHAU RAUPEX'!S10,Sprachen!A1:T99,46,0)</f>
        <v>Das Berechnungstool wendet unterschiedliche Formeln, Konstanten und Variablen an, welche nicht immer auf die jeweiligen Betriebsparameter angepasst werden können. Der sich hierbei ergebende Fehler wir durch die Kumulation der Teilabschnitte pro Tabellenzeile noch vergrößert. Auch können sich durch die Interpretation von Formteilen oder Fehlern in der Berechnung weitere Abweichungen ergeben.</v>
      </c>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row>
    <row r="20" spans="3:58" ht="12.75" customHeight="1">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282"/>
    </row>
    <row r="21" spans="3:58" ht="12.75" customHeight="1">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row>
    <row r="22" spans="3:58" ht="12.75" customHeight="1">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row>
    <row r="23" spans="3:58" ht="12.75" customHeight="1">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row>
    <row r="24" spans="3:58" ht="12.75" customHeight="1">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row>
    <row r="25" spans="3:58" ht="12.75" customHeight="1">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row>
    <row r="26" spans="3:58" ht="12.75" customHeight="1">
      <c r="C26" s="283" t="str">
        <f>HLOOKUP('REHAU RAUPEX'!S10,Sprachen!A1:T99,47,0)</f>
        <v>Das Ergebnis ist damit ausschließlich eine ungefähre Näherung, für deren praktische Genauigkeit und Anwendbarkeit wir im Einzelfall keine Gewähr übernehmen können.</v>
      </c>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row>
    <row r="27" spans="3:58" ht="12.75" customHeight="1">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row>
    <row r="28" spans="3:58" ht="12.75" customHeight="1">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row>
    <row r="29" spans="3:58" ht="12.75" customHeight="1">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row>
    <row r="30" spans="3:58" ht="12.7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row>
    <row r="31" spans="3:58" ht="12.75" customHeight="1">
      <c r="C31" s="282" t="str">
        <f>HLOOKUP('REHAU RAUPEX'!S10,Sprachen!A1:T99,48,0)</f>
        <v>Natürlich sind wir steht‘s bemüht dieses Berechnungstool zu verbessern und bitten in diesem Zusammenhang um Ihre Rückmeldung aus der praktischen Anwendung sowie der Übereinstimmung mit Anlagen im Betrieb. Aktualisierte Versionen werden über unsere Homepage als Download zur Verfügung gestellt, somit prüfen Sie bitte bei Nutzung die Aktualität.</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row>
    <row r="32" spans="3:58" ht="12.75" customHeight="1">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row>
    <row r="33" spans="3:58" ht="12.75" customHeight="1">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row>
    <row r="34" spans="3:58" ht="12.75" customHeight="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row>
    <row r="35" spans="3:58" ht="12.75" customHeight="1">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row>
    <row r="36" spans="3:58" ht="12.75" customHeight="1">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row>
    <row r="37" spans="3:58" ht="12.75" customHeight="1">
      <c r="C37" s="282" t="str">
        <f>HLOOKUP('REHAU RAUPEX'!S10,Sprachen!A1:T99,49,0)</f>
        <v>Alle Daten innerhalb dieser Webseite/Software sind urheberrechtlich geschützt und dürfen nicht ohne Zustimmung der Rechteinhaber verwendet werden. Die durch das Urheberrecht begründeten Rechte, insbesondere die der Übersetzung, des Nachdruckes, der Entnahme von Abbildungen, der Funksendungen, der Wiedergabe auf fotomechanischem oder ähnlichem Wege und der Speicherung in Datenverarbeitungsanlagen, bleibt vorbehalten.</v>
      </c>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row>
    <row r="38" spans="3:58" ht="12.75" customHeight="1">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row>
    <row r="39" spans="3:58" ht="12.75" customHeight="1">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row>
    <row r="40" spans="3:58" ht="12.75" customHeight="1">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row>
    <row r="41" spans="3:58" ht="12.75" customHeight="1">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row>
    <row r="42" spans="3:58" ht="12.75" customHeight="1">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row>
    <row r="43" spans="3:58" ht="12.75" customHeight="1">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row>
    <row r="44" spans="3:58" ht="12.75" customHeight="1">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row>
    <row r="45" spans="3:58" ht="12.75" customHeight="1">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row>
    <row r="46" spans="3:58" ht="12.75" customHeight="1">
      <c r="C46" s="282" t="str">
        <f>HLOOKUP('REHAU RAUPEX'!S10,Sprachen!A1:T99,50,0)</f>
        <v xml:space="preserve">Durch die Nutzung dieses Berechnungstools gelten die Liefer- und Zahlungsbedingungen der REHAU AG+Co als akzeptiert. Diese sind jederzeit abrufbar unter folgendem Link: 
www.rehau.com/de-de/liefer-und-zahlungsbedingungen
</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row>
    <row r="47" spans="3:58" ht="12.75" customHeight="1">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row>
    <row r="48" spans="3:58" ht="12.75" customHeight="1">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row>
    <row r="49" spans="3:58" ht="12.75" customHeight="1">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row>
    <row r="50" spans="3:58" ht="12.75" customHeight="1">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row>
    <row r="51" spans="3:58" ht="12.75" customHeight="1">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3:58" ht="12.75" customHeight="1">
      <c r="C52" s="282" t="str">
        <f>HLOOKUP('REHAU RAUPEX'!S10,Sprachen!A1:T99,51,0)</f>
        <v>Für den direkten Kontakt zu uns finden Sie folgend Anschrift, Telefonnummer und Webseite:
REHAU Industries SE &amp; Co. KG, Ytterbium 4, D-91058 Erlangen / Tel. +49-9131-92-0 / Abteilung Industrierohrsysteme
www.rehau.com/de-de/industrierohrsystem</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row>
    <row r="53" spans="3:58" ht="12.75" customHeight="1">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row>
    <row r="54" spans="3:58" ht="12.75" customHeight="1">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row>
    <row r="55" spans="3:58" ht="12.75" customHeight="1">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row>
    <row r="56" spans="3:58" ht="12.75" customHeight="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row>
    <row r="57" spans="3:58" ht="12.75" hidden="1" customHeight="1">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3:58" ht="12.75" hidden="1" customHeight="1">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3:58" ht="12.75" hidden="1" customHeight="1">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3:58" ht="12.75" hidden="1" customHeight="1">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2" spans="3:58"/>
    <row r="63" spans="3:58"/>
  </sheetData>
  <sheetProtection algorithmName="SHA-512" hashValue="y2O8UBSk/eh5dpSeLwH6cU0/YEyK1Rbk1vILdImbr2xC7NYqfWc6A12A2d4zAqYNsKPBHRlYjT7DpoyiIH/zlw==" saltValue="El1c33xvl0+uBpsNEI5QVA==" spinCount="100000" sheet="1" objects="1" scenarios="1" selectLockedCells="1" selectUnlockedCells="1"/>
  <mergeCells count="9">
    <mergeCell ref="C46:BF50"/>
    <mergeCell ref="C52:BF56"/>
    <mergeCell ref="C19:BF25"/>
    <mergeCell ref="C26:BF29"/>
    <mergeCell ref="C8:BF17"/>
    <mergeCell ref="C18:BF18"/>
    <mergeCell ref="C31:BF35"/>
    <mergeCell ref="C37:BF43"/>
    <mergeCell ref="C44:BF45"/>
  </mergeCells>
  <pageMargins left="0.23622047244094491" right="0.23622047244094491" top="0.74803149606299213" bottom="0.74803149606299213" header="0.31496062992125984" footer="0.31496062992125984"/>
  <pageSetup paperSize="9" scale="50" orientation="portrait" verticalDpi="90" r:id="rId1"/>
  <headerFooter alignWithMargins="0">
    <oddFooter>&amp;LRAUPEX_automotive_cooling_below_200_mbar_Vers_01.2021&amp;CSeite 5/5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002060"/>
  </sheetPr>
  <dimension ref="A1:H76"/>
  <sheetViews>
    <sheetView zoomScaleNormal="100" workbookViewId="0">
      <pane ySplit="1" topLeftCell="A2" activePane="bottomLeft" state="frozenSplit"/>
      <selection activeCell="D1" sqref="D1"/>
      <selection pane="bottomLeft" activeCell="E10" sqref="E10"/>
    </sheetView>
  </sheetViews>
  <sheetFormatPr defaultColWidth="11.42578125" defaultRowHeight="12"/>
  <cols>
    <col min="1" max="8" width="45.7109375" style="212" customWidth="1"/>
    <col min="9" max="16384" width="11.42578125" style="212"/>
  </cols>
  <sheetData>
    <row r="1" spans="1:8" ht="18">
      <c r="A1" s="225" t="s">
        <v>272</v>
      </c>
      <c r="B1" s="225" t="s">
        <v>269</v>
      </c>
      <c r="C1" s="225" t="s">
        <v>270</v>
      </c>
      <c r="D1" s="225" t="s">
        <v>271</v>
      </c>
      <c r="E1" s="225" t="s">
        <v>348</v>
      </c>
      <c r="F1" s="213"/>
      <c r="G1" s="213"/>
      <c r="H1" s="213"/>
    </row>
    <row r="2" spans="1:8" ht="36">
      <c r="A2" s="217" t="s">
        <v>158</v>
      </c>
      <c r="B2" s="218" t="s">
        <v>90</v>
      </c>
      <c r="C2" s="216" t="s">
        <v>91</v>
      </c>
      <c r="D2" s="217" t="s">
        <v>92</v>
      </c>
      <c r="E2" s="227" t="s">
        <v>278</v>
      </c>
      <c r="F2" s="213"/>
      <c r="G2" s="213"/>
      <c r="H2" s="213"/>
    </row>
    <row r="3" spans="1:8" ht="36">
      <c r="A3" s="219" t="s">
        <v>154</v>
      </c>
      <c r="B3" s="216" t="s">
        <v>155</v>
      </c>
      <c r="C3" s="216" t="s">
        <v>156</v>
      </c>
      <c r="D3" s="216" t="s">
        <v>157</v>
      </c>
      <c r="E3" s="227" t="s">
        <v>279</v>
      </c>
      <c r="F3" s="213"/>
      <c r="G3" s="213"/>
      <c r="H3" s="213"/>
    </row>
    <row r="4" spans="1:8">
      <c r="A4" s="216" t="s">
        <v>82</v>
      </c>
      <c r="B4" s="216" t="s">
        <v>276</v>
      </c>
      <c r="C4" s="216" t="s">
        <v>93</v>
      </c>
      <c r="D4" s="216" t="s">
        <v>94</v>
      </c>
      <c r="E4" s="227" t="s">
        <v>280</v>
      </c>
      <c r="F4" s="213"/>
      <c r="G4" s="213"/>
      <c r="H4" s="213"/>
    </row>
    <row r="5" spans="1:8" ht="47.25">
      <c r="A5" s="216" t="s">
        <v>84</v>
      </c>
      <c r="B5" s="228" t="s">
        <v>273</v>
      </c>
      <c r="C5" s="216" t="s">
        <v>383</v>
      </c>
      <c r="D5" s="228" t="s">
        <v>354</v>
      </c>
      <c r="E5" s="227" t="s">
        <v>281</v>
      </c>
      <c r="F5" s="213"/>
      <c r="G5" s="213"/>
      <c r="H5" s="213"/>
    </row>
    <row r="6" spans="1:8">
      <c r="A6" s="216" t="s">
        <v>81</v>
      </c>
      <c r="B6" s="216" t="s">
        <v>274</v>
      </c>
      <c r="C6" s="216" t="s">
        <v>384</v>
      </c>
      <c r="D6" s="228" t="s">
        <v>355</v>
      </c>
      <c r="E6" s="227" t="s">
        <v>282</v>
      </c>
      <c r="F6" s="213"/>
      <c r="G6" s="213"/>
      <c r="H6" s="213"/>
    </row>
    <row r="7" spans="1:8" ht="39.75" customHeight="1" thickBot="1">
      <c r="A7" s="220" t="s">
        <v>83</v>
      </c>
      <c r="B7" s="220" t="s">
        <v>275</v>
      </c>
      <c r="C7" s="226" t="s">
        <v>385</v>
      </c>
      <c r="D7" s="220" t="s">
        <v>356</v>
      </c>
      <c r="E7" s="235" t="s">
        <v>283</v>
      </c>
      <c r="F7" s="213"/>
      <c r="G7" s="213"/>
      <c r="H7" s="213"/>
    </row>
    <row r="8" spans="1:8" ht="24.75" thickTop="1">
      <c r="A8" s="221" t="s">
        <v>159</v>
      </c>
      <c r="B8" s="222" t="s">
        <v>95</v>
      </c>
      <c r="C8" s="223" t="s">
        <v>96</v>
      </c>
      <c r="D8" s="221" t="s">
        <v>97</v>
      </c>
      <c r="E8" s="236" t="s">
        <v>284</v>
      </c>
      <c r="F8" s="213"/>
      <c r="G8" s="213"/>
      <c r="H8" s="213"/>
    </row>
    <row r="9" spans="1:8">
      <c r="A9" s="217" t="s">
        <v>64</v>
      </c>
      <c r="B9" s="216" t="s">
        <v>98</v>
      </c>
      <c r="C9" s="216" t="s">
        <v>99</v>
      </c>
      <c r="D9" s="216" t="s">
        <v>357</v>
      </c>
      <c r="E9" s="227" t="s">
        <v>285</v>
      </c>
      <c r="F9" s="213"/>
      <c r="G9" s="213"/>
      <c r="H9" s="213"/>
    </row>
    <row r="10" spans="1:8">
      <c r="A10" s="217" t="s">
        <v>437</v>
      </c>
      <c r="B10" s="216" t="s">
        <v>438</v>
      </c>
      <c r="C10" s="216" t="s">
        <v>439</v>
      </c>
      <c r="D10" s="216" t="s">
        <v>440</v>
      </c>
      <c r="E10" s="227" t="s">
        <v>441</v>
      </c>
      <c r="F10" s="213"/>
      <c r="G10" s="213"/>
      <c r="H10" s="213"/>
    </row>
    <row r="11" spans="1:8">
      <c r="A11" s="217" t="s">
        <v>39</v>
      </c>
      <c r="B11" s="216" t="s">
        <v>207</v>
      </c>
      <c r="C11" s="216" t="s">
        <v>208</v>
      </c>
      <c r="D11" s="216" t="s">
        <v>209</v>
      </c>
      <c r="E11" s="227" t="s">
        <v>286</v>
      </c>
      <c r="F11" s="213"/>
      <c r="G11" s="213"/>
      <c r="H11" s="213"/>
    </row>
    <row r="12" spans="1:8">
      <c r="A12" s="217" t="s">
        <v>78</v>
      </c>
      <c r="B12" s="216" t="s">
        <v>200</v>
      </c>
      <c r="C12" s="216" t="s">
        <v>386</v>
      </c>
      <c r="D12" s="216" t="s">
        <v>358</v>
      </c>
      <c r="E12" s="227" t="s">
        <v>287</v>
      </c>
      <c r="F12" s="213"/>
      <c r="G12" s="213"/>
      <c r="H12" s="213"/>
    </row>
    <row r="13" spans="1:8">
      <c r="A13" s="217" t="s">
        <v>79</v>
      </c>
      <c r="B13" s="216" t="s">
        <v>201</v>
      </c>
      <c r="C13" s="216" t="s">
        <v>387</v>
      </c>
      <c r="D13" s="216" t="s">
        <v>359</v>
      </c>
      <c r="E13" s="227" t="s">
        <v>288</v>
      </c>
      <c r="F13" s="213"/>
      <c r="G13" s="213"/>
      <c r="H13" s="213"/>
    </row>
    <row r="14" spans="1:8">
      <c r="A14" s="224" t="s">
        <v>61</v>
      </c>
      <c r="B14" s="216" t="s">
        <v>100</v>
      </c>
      <c r="C14" s="216" t="s">
        <v>101</v>
      </c>
      <c r="D14" s="216" t="s">
        <v>102</v>
      </c>
      <c r="E14" s="227" t="s">
        <v>289</v>
      </c>
      <c r="F14" s="213"/>
      <c r="G14" s="213"/>
      <c r="H14" s="213"/>
    </row>
    <row r="15" spans="1:8" ht="48">
      <c r="A15" s="228" t="s">
        <v>73</v>
      </c>
      <c r="B15" s="228" t="s">
        <v>103</v>
      </c>
      <c r="C15" s="228" t="s">
        <v>104</v>
      </c>
      <c r="D15" s="216" t="s">
        <v>105</v>
      </c>
      <c r="E15" s="227" t="s">
        <v>290</v>
      </c>
      <c r="F15" s="213"/>
      <c r="G15" s="213"/>
      <c r="H15" s="213"/>
    </row>
    <row r="16" spans="1:8">
      <c r="A16" s="216" t="s">
        <v>55</v>
      </c>
      <c r="B16" s="216" t="s">
        <v>106</v>
      </c>
      <c r="C16" s="216" t="s">
        <v>107</v>
      </c>
      <c r="D16" s="216" t="s">
        <v>108</v>
      </c>
      <c r="E16" s="227" t="s">
        <v>291</v>
      </c>
      <c r="F16" s="213"/>
      <c r="G16" s="213"/>
      <c r="H16" s="213"/>
    </row>
    <row r="17" spans="1:8">
      <c r="A17" s="216" t="s">
        <v>160</v>
      </c>
      <c r="B17" s="216" t="s">
        <v>161</v>
      </c>
      <c r="C17" s="216" t="s">
        <v>162</v>
      </c>
      <c r="D17" s="216" t="s">
        <v>162</v>
      </c>
      <c r="E17" s="227" t="s">
        <v>292</v>
      </c>
      <c r="F17" s="213"/>
      <c r="G17" s="213"/>
      <c r="H17" s="213"/>
    </row>
    <row r="18" spans="1:8">
      <c r="A18" s="216" t="s">
        <v>63</v>
      </c>
      <c r="B18" s="216" t="s">
        <v>109</v>
      </c>
      <c r="C18" s="216" t="s">
        <v>110</v>
      </c>
      <c r="D18" s="216" t="s">
        <v>111</v>
      </c>
      <c r="E18" s="227" t="s">
        <v>293</v>
      </c>
      <c r="F18" s="213"/>
      <c r="G18" s="213"/>
      <c r="H18" s="213"/>
    </row>
    <row r="19" spans="1:8" ht="36">
      <c r="A19" s="216" t="s">
        <v>163</v>
      </c>
      <c r="B19" s="216" t="s">
        <v>164</v>
      </c>
      <c r="C19" s="216" t="s">
        <v>165</v>
      </c>
      <c r="D19" s="216" t="s">
        <v>166</v>
      </c>
      <c r="E19" s="227" t="s">
        <v>294</v>
      </c>
      <c r="F19" s="213"/>
      <c r="G19" s="213"/>
      <c r="H19" s="213"/>
    </row>
    <row r="20" spans="1:8" ht="36">
      <c r="A20" s="216" t="s">
        <v>167</v>
      </c>
      <c r="B20" s="216" t="s">
        <v>168</v>
      </c>
      <c r="C20" s="216" t="s">
        <v>169</v>
      </c>
      <c r="D20" s="216" t="s">
        <v>170</v>
      </c>
      <c r="E20" s="227" t="s">
        <v>295</v>
      </c>
      <c r="F20" s="213"/>
      <c r="G20" s="213"/>
      <c r="H20" s="213"/>
    </row>
    <row r="21" spans="1:8" ht="36">
      <c r="A21" s="228" t="s">
        <v>171</v>
      </c>
      <c r="B21" s="228" t="s">
        <v>172</v>
      </c>
      <c r="C21" s="228" t="s">
        <v>173</v>
      </c>
      <c r="D21" s="216" t="s">
        <v>174</v>
      </c>
      <c r="E21" s="227" t="s">
        <v>296</v>
      </c>
      <c r="F21" s="213"/>
      <c r="G21" s="213"/>
      <c r="H21" s="213"/>
    </row>
    <row r="22" spans="1:8">
      <c r="A22" s="216" t="s">
        <v>32</v>
      </c>
      <c r="B22" s="216" t="s">
        <v>112</v>
      </c>
      <c r="C22" s="216" t="s">
        <v>42</v>
      </c>
      <c r="D22" s="216" t="s">
        <v>113</v>
      </c>
      <c r="E22" s="227" t="s">
        <v>297</v>
      </c>
      <c r="F22" s="213"/>
      <c r="G22" s="213"/>
      <c r="H22" s="213"/>
    </row>
    <row r="23" spans="1:8">
      <c r="A23" s="216" t="s">
        <v>33</v>
      </c>
      <c r="B23" s="216" t="s">
        <v>114</v>
      </c>
      <c r="C23" s="216" t="s">
        <v>43</v>
      </c>
      <c r="D23" s="216" t="s">
        <v>115</v>
      </c>
      <c r="E23" s="227" t="s">
        <v>298</v>
      </c>
      <c r="F23" s="213"/>
      <c r="G23" s="213"/>
      <c r="H23" s="213"/>
    </row>
    <row r="24" spans="1:8">
      <c r="A24" s="216" t="s">
        <v>34</v>
      </c>
      <c r="B24" s="216" t="s">
        <v>116</v>
      </c>
      <c r="C24" s="216" t="s">
        <v>117</v>
      </c>
      <c r="D24" s="216" t="s">
        <v>181</v>
      </c>
      <c r="E24" s="227" t="s">
        <v>299</v>
      </c>
      <c r="F24" s="213"/>
      <c r="G24" s="213"/>
      <c r="H24" s="213"/>
    </row>
    <row r="25" spans="1:8">
      <c r="A25" s="217" t="s">
        <v>35</v>
      </c>
      <c r="B25" s="216" t="s">
        <v>118</v>
      </c>
      <c r="C25" s="216" t="s">
        <v>119</v>
      </c>
      <c r="D25" s="216" t="s">
        <v>179</v>
      </c>
      <c r="E25" s="227" t="s">
        <v>300</v>
      </c>
      <c r="F25" s="213"/>
      <c r="G25" s="213"/>
      <c r="H25" s="213"/>
    </row>
    <row r="26" spans="1:8">
      <c r="A26" s="217" t="s">
        <v>36</v>
      </c>
      <c r="B26" s="216" t="s">
        <v>120</v>
      </c>
      <c r="C26" s="216" t="s">
        <v>121</v>
      </c>
      <c r="D26" s="216" t="s">
        <v>182</v>
      </c>
      <c r="E26" s="227" t="s">
        <v>301</v>
      </c>
      <c r="F26" s="213"/>
      <c r="G26" s="213"/>
      <c r="H26" s="213"/>
    </row>
    <row r="27" spans="1:8">
      <c r="A27" s="216" t="s">
        <v>37</v>
      </c>
      <c r="B27" s="216" t="s">
        <v>214</v>
      </c>
      <c r="C27" s="216" t="s">
        <v>122</v>
      </c>
      <c r="D27" s="216" t="s">
        <v>180</v>
      </c>
      <c r="E27" s="227" t="s">
        <v>302</v>
      </c>
      <c r="F27" s="213"/>
      <c r="G27" s="213"/>
      <c r="H27" s="213"/>
    </row>
    <row r="28" spans="1:8" ht="24">
      <c r="A28" s="216" t="s">
        <v>175</v>
      </c>
      <c r="B28" s="216" t="s">
        <v>176</v>
      </c>
      <c r="C28" s="216" t="s">
        <v>177</v>
      </c>
      <c r="D28" s="216" t="s">
        <v>178</v>
      </c>
      <c r="E28" s="227" t="s">
        <v>303</v>
      </c>
      <c r="F28" s="213"/>
      <c r="G28" s="213"/>
      <c r="H28" s="213"/>
    </row>
    <row r="29" spans="1:8" ht="24">
      <c r="A29" s="216" t="s">
        <v>183</v>
      </c>
      <c r="B29" s="216" t="s">
        <v>184</v>
      </c>
      <c r="C29" s="216" t="s">
        <v>185</v>
      </c>
      <c r="D29" s="216" t="s">
        <v>186</v>
      </c>
      <c r="E29" s="227" t="s">
        <v>304</v>
      </c>
      <c r="F29" s="213"/>
      <c r="G29" s="213"/>
      <c r="H29" s="213"/>
    </row>
    <row r="30" spans="1:8" ht="24">
      <c r="A30" s="216" t="s">
        <v>187</v>
      </c>
      <c r="B30" s="216" t="s">
        <v>188</v>
      </c>
      <c r="C30" s="216" t="s">
        <v>189</v>
      </c>
      <c r="D30" s="216" t="s">
        <v>189</v>
      </c>
      <c r="E30" s="227" t="s">
        <v>305</v>
      </c>
      <c r="F30" s="213"/>
      <c r="G30" s="213"/>
      <c r="H30" s="213"/>
    </row>
    <row r="31" spans="1:8" ht="24">
      <c r="A31" s="216" t="s">
        <v>190</v>
      </c>
      <c r="B31" s="216" t="s">
        <v>123</v>
      </c>
      <c r="C31" s="216" t="s">
        <v>41</v>
      </c>
      <c r="D31" s="216" t="s">
        <v>124</v>
      </c>
      <c r="E31" s="227" t="s">
        <v>306</v>
      </c>
      <c r="F31" s="213"/>
      <c r="G31" s="213"/>
      <c r="H31" s="213"/>
    </row>
    <row r="32" spans="1:8" ht="36">
      <c r="A32" s="216" t="s">
        <v>49</v>
      </c>
      <c r="B32" s="216" t="s">
        <v>125</v>
      </c>
      <c r="C32" s="216" t="s">
        <v>194</v>
      </c>
      <c r="D32" s="216" t="s">
        <v>196</v>
      </c>
      <c r="E32" s="227" t="s">
        <v>307</v>
      </c>
      <c r="F32" s="213"/>
      <c r="G32" s="213"/>
      <c r="H32" s="213"/>
    </row>
    <row r="33" spans="1:8" ht="36">
      <c r="A33" s="216" t="s">
        <v>50</v>
      </c>
      <c r="B33" s="216" t="s">
        <v>126</v>
      </c>
      <c r="C33" s="216" t="s">
        <v>195</v>
      </c>
      <c r="D33" s="216" t="s">
        <v>197</v>
      </c>
      <c r="E33" s="227" t="s">
        <v>308</v>
      </c>
      <c r="F33" s="213"/>
      <c r="G33" s="213"/>
      <c r="H33" s="213"/>
    </row>
    <row r="34" spans="1:8" ht="24">
      <c r="A34" s="216" t="s">
        <v>127</v>
      </c>
      <c r="B34" s="216" t="s">
        <v>128</v>
      </c>
      <c r="C34" s="216" t="s">
        <v>193</v>
      </c>
      <c r="D34" s="216" t="s">
        <v>198</v>
      </c>
      <c r="E34" s="227" t="s">
        <v>309</v>
      </c>
      <c r="F34" s="213"/>
      <c r="G34" s="213"/>
      <c r="H34" s="213"/>
    </row>
    <row r="35" spans="1:8">
      <c r="A35" s="216" t="s">
        <v>54</v>
      </c>
      <c r="B35" s="216" t="s">
        <v>191</v>
      </c>
      <c r="C35" s="216" t="s">
        <v>192</v>
      </c>
      <c r="D35" s="216" t="s">
        <v>199</v>
      </c>
      <c r="E35" s="227" t="s">
        <v>310</v>
      </c>
      <c r="F35" s="213"/>
      <c r="G35" s="213"/>
      <c r="H35" s="213"/>
    </row>
    <row r="36" spans="1:8" ht="24">
      <c r="A36" s="216" t="s">
        <v>129</v>
      </c>
      <c r="B36" s="216" t="s">
        <v>205</v>
      </c>
      <c r="C36" s="216" t="s">
        <v>130</v>
      </c>
      <c r="D36" s="216" t="s">
        <v>204</v>
      </c>
      <c r="E36" s="227" t="s">
        <v>311</v>
      </c>
      <c r="F36" s="213"/>
      <c r="G36" s="213"/>
      <c r="H36" s="213"/>
    </row>
    <row r="37" spans="1:8" ht="12.75" thickBot="1">
      <c r="A37" s="226" t="s">
        <v>62</v>
      </c>
      <c r="B37" s="226" t="s">
        <v>202</v>
      </c>
      <c r="C37" s="226" t="s">
        <v>203</v>
      </c>
      <c r="D37" s="226" t="s">
        <v>131</v>
      </c>
      <c r="E37" s="235" t="s">
        <v>312</v>
      </c>
      <c r="F37" s="213"/>
      <c r="G37" s="213"/>
      <c r="H37" s="213"/>
    </row>
    <row r="38" spans="1:8" ht="24.75" thickTop="1">
      <c r="A38" s="223" t="s">
        <v>206</v>
      </c>
      <c r="B38" s="222" t="s">
        <v>132</v>
      </c>
      <c r="C38" s="223" t="s">
        <v>133</v>
      </c>
      <c r="D38" s="223" t="s">
        <v>134</v>
      </c>
      <c r="E38" s="236" t="s">
        <v>313</v>
      </c>
      <c r="F38" s="213"/>
      <c r="G38" s="213"/>
      <c r="H38" s="213"/>
    </row>
    <row r="39" spans="1:8" ht="24">
      <c r="A39" s="216" t="s">
        <v>210</v>
      </c>
      <c r="B39" s="216" t="s">
        <v>211</v>
      </c>
      <c r="C39" s="216" t="s">
        <v>212</v>
      </c>
      <c r="D39" s="216" t="s">
        <v>213</v>
      </c>
      <c r="E39" s="227" t="s">
        <v>314</v>
      </c>
      <c r="F39" s="234"/>
      <c r="G39" s="213"/>
      <c r="H39" s="213"/>
    </row>
    <row r="40" spans="1:8">
      <c r="A40" s="216" t="s">
        <v>76</v>
      </c>
      <c r="B40" s="216" t="s">
        <v>135</v>
      </c>
      <c r="C40" s="216" t="s">
        <v>136</v>
      </c>
      <c r="D40" s="216" t="s">
        <v>137</v>
      </c>
      <c r="E40" s="227" t="s">
        <v>315</v>
      </c>
      <c r="F40" s="234"/>
      <c r="G40" s="213"/>
      <c r="H40" s="213"/>
    </row>
    <row r="41" spans="1:8" ht="24">
      <c r="A41" s="216" t="s">
        <v>215</v>
      </c>
      <c r="B41" s="216" t="s">
        <v>216</v>
      </c>
      <c r="C41" s="216" t="s">
        <v>388</v>
      </c>
      <c r="D41" s="216" t="s">
        <v>360</v>
      </c>
      <c r="E41" s="237" t="s">
        <v>316</v>
      </c>
      <c r="F41" s="234"/>
      <c r="G41" s="213"/>
      <c r="H41" s="213"/>
    </row>
    <row r="42" spans="1:8">
      <c r="A42" s="216" t="s">
        <v>87</v>
      </c>
      <c r="B42" s="216" t="s">
        <v>217</v>
      </c>
      <c r="C42" s="216" t="s">
        <v>389</v>
      </c>
      <c r="D42" s="216" t="s">
        <v>361</v>
      </c>
      <c r="E42" s="227" t="s">
        <v>317</v>
      </c>
      <c r="F42" s="234"/>
      <c r="G42" s="213"/>
      <c r="H42" s="213"/>
    </row>
    <row r="43" spans="1:8">
      <c r="A43" s="216" t="s">
        <v>65</v>
      </c>
      <c r="B43" s="216" t="s">
        <v>138</v>
      </c>
      <c r="C43" s="216" t="s">
        <v>139</v>
      </c>
      <c r="D43" s="216" t="s">
        <v>140</v>
      </c>
      <c r="E43" s="227" t="s">
        <v>318</v>
      </c>
      <c r="F43" s="234"/>
      <c r="G43" s="213"/>
      <c r="H43" s="213"/>
    </row>
    <row r="44" spans="1:8" ht="24">
      <c r="A44" s="216" t="s">
        <v>66</v>
      </c>
      <c r="B44" s="216" t="s">
        <v>141</v>
      </c>
      <c r="C44" s="216" t="s">
        <v>142</v>
      </c>
      <c r="D44" s="216" t="s">
        <v>143</v>
      </c>
      <c r="E44" s="227" t="s">
        <v>319</v>
      </c>
      <c r="F44" s="234"/>
      <c r="G44" s="213"/>
      <c r="H44" s="213"/>
    </row>
    <row r="45" spans="1:8" ht="204">
      <c r="A45" s="227" t="s">
        <v>218</v>
      </c>
      <c r="B45" s="228" t="s">
        <v>144</v>
      </c>
      <c r="C45" s="228" t="s">
        <v>145</v>
      </c>
      <c r="D45" s="228" t="s">
        <v>146</v>
      </c>
      <c r="E45" s="227" t="s">
        <v>320</v>
      </c>
      <c r="F45" s="234"/>
      <c r="G45" s="213"/>
      <c r="H45" s="213"/>
    </row>
    <row r="46" spans="1:8" ht="96">
      <c r="A46" s="216" t="s">
        <v>222</v>
      </c>
      <c r="B46" s="228" t="s">
        <v>224</v>
      </c>
      <c r="C46" s="228" t="s">
        <v>226</v>
      </c>
      <c r="D46" s="228" t="s">
        <v>228</v>
      </c>
      <c r="E46" s="227" t="s">
        <v>321</v>
      </c>
      <c r="F46" s="234"/>
      <c r="G46" s="213"/>
      <c r="H46" s="213"/>
    </row>
    <row r="47" spans="1:8" ht="48">
      <c r="A47" s="229" t="s">
        <v>221</v>
      </c>
      <c r="B47" s="230" t="s">
        <v>223</v>
      </c>
      <c r="C47" s="230" t="s">
        <v>225</v>
      </c>
      <c r="D47" s="230" t="s">
        <v>227</v>
      </c>
      <c r="E47" s="227" t="s">
        <v>322</v>
      </c>
      <c r="F47" s="234"/>
      <c r="G47" s="213"/>
      <c r="H47" s="213"/>
    </row>
    <row r="48" spans="1:8" ht="96">
      <c r="A48" s="216" t="s">
        <v>219</v>
      </c>
      <c r="B48" s="228" t="s">
        <v>147</v>
      </c>
      <c r="C48" s="227" t="s">
        <v>148</v>
      </c>
      <c r="D48" s="228" t="s">
        <v>149</v>
      </c>
      <c r="E48" s="227" t="s">
        <v>323</v>
      </c>
      <c r="F48" s="234"/>
      <c r="G48" s="213"/>
      <c r="H48" s="213"/>
    </row>
    <row r="49" spans="1:8" ht="108">
      <c r="A49" s="216" t="s">
        <v>150</v>
      </c>
      <c r="B49" s="228" t="s">
        <v>151</v>
      </c>
      <c r="C49" s="228" t="s">
        <v>152</v>
      </c>
      <c r="D49" s="228" t="s">
        <v>153</v>
      </c>
      <c r="E49" s="227" t="s">
        <v>324</v>
      </c>
      <c r="F49" s="234"/>
      <c r="G49" s="213"/>
      <c r="H49" s="213"/>
    </row>
    <row r="50" spans="1:8" ht="84">
      <c r="A50" s="216" t="s">
        <v>220</v>
      </c>
      <c r="B50" s="228" t="s">
        <v>261</v>
      </c>
      <c r="C50" s="227" t="s">
        <v>262</v>
      </c>
      <c r="D50" s="228" t="s">
        <v>263</v>
      </c>
      <c r="E50" s="227" t="s">
        <v>325</v>
      </c>
      <c r="F50" s="234"/>
      <c r="G50" s="213"/>
      <c r="H50" s="213"/>
    </row>
    <row r="51" spans="1:8" ht="72">
      <c r="A51" s="227" t="s">
        <v>429</v>
      </c>
      <c r="B51" s="228" t="s">
        <v>430</v>
      </c>
      <c r="C51" s="216" t="s">
        <v>264</v>
      </c>
      <c r="D51" s="228" t="s">
        <v>431</v>
      </c>
      <c r="E51" s="227" t="s">
        <v>432</v>
      </c>
      <c r="F51" s="234"/>
      <c r="G51" s="213"/>
      <c r="H51" s="213"/>
    </row>
    <row r="52" spans="1:8" ht="24">
      <c r="A52" s="216" t="s">
        <v>88</v>
      </c>
      <c r="B52" s="228" t="s">
        <v>242</v>
      </c>
      <c r="C52" s="228" t="s">
        <v>410</v>
      </c>
      <c r="D52" s="227" t="s">
        <v>382</v>
      </c>
      <c r="E52" s="227" t="s">
        <v>326</v>
      </c>
    </row>
    <row r="53" spans="1:8" ht="24">
      <c r="A53" s="216" t="s">
        <v>89</v>
      </c>
      <c r="B53" s="228" t="s">
        <v>243</v>
      </c>
      <c r="C53" s="228" t="s">
        <v>390</v>
      </c>
      <c r="D53" s="227" t="s">
        <v>362</v>
      </c>
      <c r="E53" s="227" t="s">
        <v>327</v>
      </c>
    </row>
    <row r="54" spans="1:8" ht="36">
      <c r="A54" s="216" t="s">
        <v>414</v>
      </c>
      <c r="B54" s="228" t="s">
        <v>415</v>
      </c>
      <c r="C54" s="228" t="s">
        <v>416</v>
      </c>
      <c r="D54" s="227" t="s">
        <v>417</v>
      </c>
      <c r="E54" s="227" t="s">
        <v>418</v>
      </c>
    </row>
    <row r="55" spans="1:8" ht="60">
      <c r="A55" s="216" t="s">
        <v>85</v>
      </c>
      <c r="B55" s="228" t="s">
        <v>244</v>
      </c>
      <c r="C55" s="228" t="s">
        <v>391</v>
      </c>
      <c r="D55" s="227" t="s">
        <v>363</v>
      </c>
      <c r="E55" s="227" t="s">
        <v>328</v>
      </c>
    </row>
    <row r="56" spans="1:8" ht="24">
      <c r="A56" s="216" t="s">
        <v>229</v>
      </c>
      <c r="B56" s="228" t="s">
        <v>245</v>
      </c>
      <c r="C56" s="228" t="s">
        <v>408</v>
      </c>
      <c r="D56" s="227" t="s">
        <v>364</v>
      </c>
      <c r="E56" s="227" t="s">
        <v>329</v>
      </c>
    </row>
    <row r="57" spans="1:8" ht="156">
      <c r="A57" s="227" t="s">
        <v>230</v>
      </c>
      <c r="B57" s="228" t="s">
        <v>260</v>
      </c>
      <c r="C57" s="228" t="s">
        <v>392</v>
      </c>
      <c r="D57" s="227" t="s">
        <v>365</v>
      </c>
      <c r="E57" s="227" t="s">
        <v>330</v>
      </c>
    </row>
    <row r="58" spans="1:8" ht="36">
      <c r="A58" s="227" t="s">
        <v>277</v>
      </c>
      <c r="B58" s="228" t="s">
        <v>246</v>
      </c>
      <c r="C58" s="228" t="s">
        <v>393</v>
      </c>
      <c r="D58" s="227" t="s">
        <v>366</v>
      </c>
      <c r="E58" s="227" t="s">
        <v>331</v>
      </c>
    </row>
    <row r="59" spans="1:8" ht="253.5" customHeight="1">
      <c r="A59" s="227" t="s">
        <v>86</v>
      </c>
      <c r="B59" s="228" t="s">
        <v>247</v>
      </c>
      <c r="C59" s="228" t="s">
        <v>409</v>
      </c>
      <c r="D59" s="227" t="s">
        <v>367</v>
      </c>
      <c r="E59" s="227" t="s">
        <v>332</v>
      </c>
    </row>
    <row r="60" spans="1:8" ht="24">
      <c r="A60" s="227" t="s">
        <v>231</v>
      </c>
      <c r="B60" s="228" t="s">
        <v>259</v>
      </c>
      <c r="C60" s="228" t="s">
        <v>394</v>
      </c>
      <c r="D60" s="227" t="s">
        <v>368</v>
      </c>
      <c r="E60" s="227" t="s">
        <v>333</v>
      </c>
    </row>
    <row r="61" spans="1:8" ht="252">
      <c r="A61" s="227" t="s">
        <v>425</v>
      </c>
      <c r="B61" s="228" t="s">
        <v>426</v>
      </c>
      <c r="C61" s="228" t="s">
        <v>427</v>
      </c>
      <c r="D61" s="227" t="s">
        <v>428</v>
      </c>
      <c r="E61" s="227" t="s">
        <v>419</v>
      </c>
    </row>
    <row r="62" spans="1:8">
      <c r="A62" s="227" t="s">
        <v>232</v>
      </c>
      <c r="B62" s="228" t="s">
        <v>258</v>
      </c>
      <c r="C62" s="228" t="s">
        <v>395</v>
      </c>
      <c r="D62" s="227" t="s">
        <v>369</v>
      </c>
      <c r="E62" s="227" t="s">
        <v>334</v>
      </c>
    </row>
    <row r="63" spans="1:8" ht="84">
      <c r="A63" s="227" t="s">
        <v>233</v>
      </c>
      <c r="B63" s="228" t="s">
        <v>248</v>
      </c>
      <c r="C63" s="228" t="s">
        <v>396</v>
      </c>
      <c r="D63" s="227" t="s">
        <v>370</v>
      </c>
      <c r="E63" s="227" t="s">
        <v>335</v>
      </c>
    </row>
    <row r="64" spans="1:8">
      <c r="A64" s="227" t="s">
        <v>234</v>
      </c>
      <c r="B64" s="228" t="s">
        <v>257</v>
      </c>
      <c r="C64" s="228" t="s">
        <v>397</v>
      </c>
      <c r="D64" s="227" t="s">
        <v>371</v>
      </c>
      <c r="E64" s="227" t="s">
        <v>336</v>
      </c>
    </row>
    <row r="65" spans="1:5" ht="84">
      <c r="A65" s="227" t="s">
        <v>420</v>
      </c>
      <c r="B65" s="228" t="s">
        <v>421</v>
      </c>
      <c r="C65" s="228" t="s">
        <v>422</v>
      </c>
      <c r="D65" s="227" t="s">
        <v>423</v>
      </c>
      <c r="E65" s="227" t="s">
        <v>424</v>
      </c>
    </row>
    <row r="66" spans="1:5" ht="24">
      <c r="A66" s="227" t="s">
        <v>235</v>
      </c>
      <c r="B66" s="228" t="s">
        <v>256</v>
      </c>
      <c r="C66" s="228" t="s">
        <v>398</v>
      </c>
      <c r="D66" s="227" t="s">
        <v>372</v>
      </c>
      <c r="E66" s="227" t="s">
        <v>337</v>
      </c>
    </row>
    <row r="67" spans="1:5" ht="84">
      <c r="A67" s="227" t="s">
        <v>349</v>
      </c>
      <c r="B67" s="228" t="s">
        <v>350</v>
      </c>
      <c r="C67" s="228" t="s">
        <v>399</v>
      </c>
      <c r="D67" s="227" t="s">
        <v>373</v>
      </c>
      <c r="E67" s="227" t="s">
        <v>338</v>
      </c>
    </row>
    <row r="68" spans="1:5" ht="24">
      <c r="A68" s="227" t="s">
        <v>236</v>
      </c>
      <c r="B68" s="228" t="s">
        <v>255</v>
      </c>
      <c r="C68" s="228" t="s">
        <v>400</v>
      </c>
      <c r="D68" s="227" t="s">
        <v>374</v>
      </c>
      <c r="E68" s="227" t="s">
        <v>339</v>
      </c>
    </row>
    <row r="69" spans="1:5" ht="72">
      <c r="A69" s="216" t="s">
        <v>351</v>
      </c>
      <c r="B69" s="228" t="s">
        <v>352</v>
      </c>
      <c r="C69" s="228" t="s">
        <v>401</v>
      </c>
      <c r="D69" s="227" t="s">
        <v>375</v>
      </c>
      <c r="E69" s="227" t="s">
        <v>340</v>
      </c>
    </row>
    <row r="70" spans="1:5" ht="24">
      <c r="A70" s="216" t="s">
        <v>237</v>
      </c>
      <c r="B70" s="228" t="s">
        <v>254</v>
      </c>
      <c r="C70" s="228" t="s">
        <v>402</v>
      </c>
      <c r="D70" s="227" t="s">
        <v>376</v>
      </c>
      <c r="E70" s="227" t="s">
        <v>341</v>
      </c>
    </row>
    <row r="71" spans="1:5" ht="99.75" customHeight="1">
      <c r="A71" s="228" t="s">
        <v>353</v>
      </c>
      <c r="B71" s="228" t="s">
        <v>249</v>
      </c>
      <c r="C71" s="228" t="s">
        <v>403</v>
      </c>
      <c r="D71" s="227" t="s">
        <v>377</v>
      </c>
      <c r="E71" s="227" t="s">
        <v>342</v>
      </c>
    </row>
    <row r="72" spans="1:5" ht="24">
      <c r="A72" s="216" t="s">
        <v>238</v>
      </c>
      <c r="B72" s="228" t="s">
        <v>250</v>
      </c>
      <c r="C72" s="228" t="s">
        <v>404</v>
      </c>
      <c r="D72" s="227" t="s">
        <v>378</v>
      </c>
      <c r="E72" s="227" t="s">
        <v>343</v>
      </c>
    </row>
    <row r="73" spans="1:5" ht="60">
      <c r="A73" s="216" t="s">
        <v>239</v>
      </c>
      <c r="B73" s="228" t="s">
        <v>251</v>
      </c>
      <c r="C73" s="228" t="s">
        <v>405</v>
      </c>
      <c r="D73" s="227" t="s">
        <v>379</v>
      </c>
      <c r="E73" s="227" t="s">
        <v>344</v>
      </c>
    </row>
    <row r="74" spans="1:5">
      <c r="A74" s="216" t="s">
        <v>240</v>
      </c>
      <c r="B74" s="228" t="s">
        <v>252</v>
      </c>
      <c r="C74" s="228" t="s">
        <v>406</v>
      </c>
      <c r="D74" s="227" t="s">
        <v>380</v>
      </c>
      <c r="E74" s="227" t="s">
        <v>345</v>
      </c>
    </row>
    <row r="75" spans="1:5" ht="72">
      <c r="A75" s="216" t="s">
        <v>241</v>
      </c>
      <c r="B75" s="228" t="s">
        <v>253</v>
      </c>
      <c r="C75" s="228" t="s">
        <v>407</v>
      </c>
      <c r="D75" s="227" t="s">
        <v>381</v>
      </c>
      <c r="E75" s="227" t="s">
        <v>346</v>
      </c>
    </row>
    <row r="76" spans="1:5">
      <c r="A76" s="216" t="s">
        <v>268</v>
      </c>
      <c r="B76" s="216" t="s">
        <v>265</v>
      </c>
      <c r="C76" s="216" t="s">
        <v>266</v>
      </c>
      <c r="D76" s="216" t="s">
        <v>267</v>
      </c>
      <c r="E76" s="227" t="s">
        <v>347</v>
      </c>
    </row>
  </sheetData>
  <pageMargins left="0.78740157499999996" right="0.78740157499999996" top="0.984251969" bottom="0.984251969" header="0.4921259845" footer="0.4921259845"/>
  <pageSetup paperSize="9" orientation="portrait" verticalDpi="0" r:id="rId1"/>
  <headerFooter alignWithMargins="0"/>
</worksheet>
</file>

<file path=docMetadata/LabelInfo.xml><?xml version="1.0" encoding="utf-8"?>
<clbl:labelList xmlns:clbl="http://schemas.microsoft.com/office/2020/mipLabelMetadata">
  <clbl:label id="{1c434286-1dad-42db-a12c-ebf6360a61a3}" enabled="1" method="Standard" siteId="{8015e684-befa-475d-802b-fd235c2bdf9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5</vt:i4>
      </vt:variant>
    </vt:vector>
  </HeadingPairs>
  <TitlesOfParts>
    <vt:vector size="11" baseType="lpstr">
      <vt:lpstr>REHAU RAUPEX</vt:lpstr>
      <vt:lpstr>Ringleitung</vt:lpstr>
      <vt:lpstr>Strangleitung</vt:lpstr>
      <vt:lpstr>Anleitung</vt:lpstr>
      <vt:lpstr>Nutzungsbedingungen</vt:lpstr>
      <vt:lpstr>Sprachen</vt:lpstr>
      <vt:lpstr>Anleitung!Obszar_wydruku</vt:lpstr>
      <vt:lpstr>Nutzungsbedingungen!Obszar_wydruku</vt:lpstr>
      <vt:lpstr>'REHAU RAUPEX'!Obszar_wydruku</vt:lpstr>
      <vt:lpstr>Ringleitung!Obszar_wydruku</vt:lpstr>
      <vt:lpstr>Strangleitung!Obszar_wydruku</vt:lpstr>
    </vt:vector>
  </TitlesOfParts>
  <Company>REHAU AG +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Agata Goldyka, BSCPZ 5435, GBS-BSC-COM</dc:creator>
  <cp:lastModifiedBy>Agata Goldyka, BSCPZ 5435, GBS-BSC-COM</cp:lastModifiedBy>
  <cp:lastPrinted>2022-07-08T08:28:44Z</cp:lastPrinted>
  <dcterms:created xsi:type="dcterms:W3CDTF">2000-01-17T09:09:52Z</dcterms:created>
  <dcterms:modified xsi:type="dcterms:W3CDTF">2025-11-26T13:45:11Z</dcterms:modified>
</cp:coreProperties>
</file>